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idsar4\Documents\"/>
    </mc:Choice>
  </mc:AlternateContent>
  <xr:revisionPtr revIDLastSave="0" documentId="8_{DEC96291-BA4D-4567-B9BF-71ACA97E127E}" xr6:coauthVersionLast="47" xr6:coauthVersionMax="47" xr10:uidLastSave="{00000000-0000-0000-0000-000000000000}"/>
  <workbookProtection workbookAlgorithmName="SHA-512" workbookHashValue="hfvitlRh9TPsv/4m1H2/WnCYnEweJLrzD9aFAXc4PArQBiTZ0wXT+H0gPfRi4PRtJEBF5Cjil+hSa+CGbnSflA==" workbookSaltValue="WGiyVoMCFYLNt/kgheq1aw==" workbookSpinCount="100000" lockStructure="1"/>
  <bookViews>
    <workbookView xWindow="-120" yWindow="-120" windowWidth="29040" windowHeight="15840" xr2:uid="{E4417C0C-4F1B-4DBD-AD19-7EA95FF849B3}"/>
  </bookViews>
  <sheets>
    <sheet name="Instructions" sheetId="33" r:id="rId1"/>
    <sheet name="Risk Score Calculator" sheetId="1" r:id="rId2"/>
    <sheet name="Roadside Risk Checklist" sheetId="34" r:id="rId3"/>
    <sheet name="Print Sheet" sheetId="2" r:id="rId4"/>
    <sheet name="Working" sheetId="32" state="hidden" r:id="rId5"/>
    <sheet name="1.1 60 U" sheetId="6" state="hidden" r:id="rId6"/>
    <sheet name="1.2 70 U" sheetId="8" state="hidden" r:id="rId7"/>
    <sheet name="1.3 80 U" sheetId="9" state="hidden" r:id="rId8"/>
    <sheet name="1.4 90 U" sheetId="10" state="hidden" r:id="rId9"/>
    <sheet name="1.5 100 U" sheetId="11" state="hidden" r:id="rId10"/>
    <sheet name="1.6 110 U" sheetId="12" state="hidden" r:id="rId11"/>
    <sheet name="2.1 60 D" sheetId="13" state="hidden" r:id="rId12"/>
    <sheet name="2.2 70 D" sheetId="14" state="hidden" r:id="rId13"/>
    <sheet name="2.3 80 D" sheetId="15" state="hidden" r:id="rId14"/>
    <sheet name="2.4 90 D" sheetId="16" state="hidden" r:id="rId15"/>
    <sheet name="2.5 100 D" sheetId="17" state="hidden" r:id="rId16"/>
    <sheet name="2.6 110 D" sheetId="18" state="hidden" r:id="rId17"/>
    <sheet name="3.1 60 U" sheetId="19" state="hidden" r:id="rId18"/>
    <sheet name="3.2 70 U" sheetId="20" state="hidden" r:id="rId19"/>
    <sheet name="3.3 80 U" sheetId="21" state="hidden" r:id="rId20"/>
    <sheet name="3.4 90 U" sheetId="22" state="hidden" r:id="rId21"/>
    <sheet name="3.5 100 U" sheetId="23" state="hidden" r:id="rId22"/>
    <sheet name="3.6 110 U" sheetId="24" state="hidden" r:id="rId23"/>
    <sheet name="4.1 60 D" sheetId="25" state="hidden" r:id="rId24"/>
    <sheet name="4.2 70 D" sheetId="26" state="hidden" r:id="rId25"/>
    <sheet name="4.3 80 D" sheetId="28" state="hidden" r:id="rId26"/>
    <sheet name="4.4 90 D" sheetId="29" state="hidden" r:id="rId27"/>
    <sheet name="4.5 100 D" sheetId="30" state="hidden" r:id="rId28"/>
    <sheet name="4.6 110 D" sheetId="31" state="hidden" r:id="rId29"/>
    <sheet name="Exposure" sheetId="4" state="hidden" r:id="rId30"/>
    <sheet name="Likelihood" sheetId="5" state="hidden" r:id="rId31"/>
    <sheet name="Trauma Index" sheetId="3" state="hidden" r:id="rId32"/>
  </sheets>
  <externalReferences>
    <externalReference r:id="rId33"/>
  </externalReferences>
  <definedNames>
    <definedName name="AADTDivided">'[1]Risk Score Calculator'!$N$2:$N$30</definedName>
    <definedName name="AADTUndivided">'[1]Risk Score Calculator'!$M$2:$M$16</definedName>
    <definedName name="AboveSeventyCurve">'Risk Score Calculator'!$Q$2:$Q$13</definedName>
    <definedName name="BaseExp" localSheetId="6">'1.2 70 U'!$W$3:$X$32</definedName>
    <definedName name="BaseExp" localSheetId="7">'1.3 80 U'!$W$3:$X$32</definedName>
    <definedName name="BaseExp" localSheetId="8">'1.4 90 U'!$W$3:$X$32</definedName>
    <definedName name="BaseExp" localSheetId="9">'1.5 100 U'!$W$3:$X$32</definedName>
    <definedName name="BaseExp" localSheetId="10">'1.6 110 U'!$W$3:$X$32</definedName>
    <definedName name="BaseExp" localSheetId="11">'2.1 60 D'!$W$3:$X$32</definedName>
    <definedName name="BaseExp" localSheetId="12">'2.2 70 D'!$W$3:$X$32</definedName>
    <definedName name="BaseExp" localSheetId="13">'2.3 80 D'!$W$3:$X$32</definedName>
    <definedName name="BaseExp" localSheetId="14">'2.4 90 D'!$W$3:$X$32</definedName>
    <definedName name="BaseExp" localSheetId="15">'2.5 100 D'!$W$3:$X$32</definedName>
    <definedName name="BaseExp" localSheetId="16">'2.6 110 D'!$W$3:$X$32</definedName>
    <definedName name="BaseExp" localSheetId="17">'3.1 60 U'!$W$3:$X$32</definedName>
    <definedName name="BaseExp" localSheetId="18">'3.2 70 U'!$W$3:$X$32</definedName>
    <definedName name="BaseExp" localSheetId="19">'3.3 80 U'!$W$3:$X$32</definedName>
    <definedName name="BaseExp" localSheetId="20">'3.4 90 U'!$W$3:$X$32</definedName>
    <definedName name="BaseExp" localSheetId="21">'3.5 100 U'!$W$3:$X$32</definedName>
    <definedName name="BaseExp" localSheetId="22">'3.6 110 U'!$W$3:$X$32</definedName>
    <definedName name="BaseExp" localSheetId="23">'4.1 60 D'!$W$3:$X$32</definedName>
    <definedName name="BaseExp" localSheetId="24">'4.2 70 D'!$W$3:$X$32</definedName>
    <definedName name="BaseExp" localSheetId="25">'4.3 80 D'!$W$3:$X$32</definedName>
    <definedName name="BaseExp" localSheetId="26">'4.4 90 D'!$W$3:$X$32</definedName>
    <definedName name="BaseExp" localSheetId="27">'4.5 100 D'!$W$3:$X$32</definedName>
    <definedName name="BaseExp" localSheetId="28">'4.6 110 D'!$W$3:$X$32</definedName>
    <definedName name="BaseExp">'1.1 60 U'!$W$3:$X$32</definedName>
    <definedName name="BelowSeventyCurve">'Risk Score Calculator'!$P$2:$P$13</definedName>
    <definedName name="CurveFact" localSheetId="6">'1.2 70 U'!$AC$27:$AD$50</definedName>
    <definedName name="CurveFact" localSheetId="7">'1.3 80 U'!$AC$27:$AD$50</definedName>
    <definedName name="CurveFact" localSheetId="8">'1.4 90 U'!$AC$27:$AD$50</definedName>
    <definedName name="CurveFact" localSheetId="9">'1.5 100 U'!$AC$27:$AD$50</definedName>
    <definedName name="CurveFact" localSheetId="10">'1.6 110 U'!$AC$27:$AD$50</definedName>
    <definedName name="CurveFact" localSheetId="11">'2.1 60 D'!$AC$27:$AD$50</definedName>
    <definedName name="CurveFact" localSheetId="12">'2.2 70 D'!$AC$27:$AD$50</definedName>
    <definedName name="CurveFact" localSheetId="13">'2.3 80 D'!$AC$27:$AD$50</definedName>
    <definedName name="CurveFact" localSheetId="14">'2.4 90 D'!$AC$27:$AD$50</definedName>
    <definedName name="CurveFact" localSheetId="15">'2.5 100 D'!$AC$27:$AD$50</definedName>
    <definedName name="CurveFact" localSheetId="16">'2.6 110 D'!$AC$27:$AD$50</definedName>
    <definedName name="CurveFact" localSheetId="17">'3.1 60 U'!$AC$27:$AD$50</definedName>
    <definedName name="CurveFact" localSheetId="18">'3.2 70 U'!$AC$27:$AD$50</definedName>
    <definedName name="CurveFact" localSheetId="19">'3.3 80 U'!$AC$27:$AD$50</definedName>
    <definedName name="CurveFact" localSheetId="20">'3.4 90 U'!$AC$27:$AD$50</definedName>
    <definedName name="CurveFact" localSheetId="21">'3.5 100 U'!$AC$27:$AD$50</definedName>
    <definedName name="CurveFact" localSheetId="22">'3.6 110 U'!$AC$27:$AD$50</definedName>
    <definedName name="CurveFact" localSheetId="23">'4.1 60 D'!$AC$27:$AD$50</definedName>
    <definedName name="CurveFact" localSheetId="24">'4.2 70 D'!$AC$27:$AD$50</definedName>
    <definedName name="CurveFact" localSheetId="25">'4.3 80 D'!$AC$27:$AD$50</definedName>
    <definedName name="CurveFact" localSheetId="26">'4.4 90 D'!$AC$27:$AD$50</definedName>
    <definedName name="CurveFact" localSheetId="27">'4.5 100 D'!$AC$27:$AD$50</definedName>
    <definedName name="CurveFact" localSheetId="28">'4.6 110 D'!$AC$27:$AD$50</definedName>
    <definedName name="CurveFact">'1.1 60 U'!$AC$27:$AD$50</definedName>
    <definedName name="DivExp">Exposure!$E$3:$F$43</definedName>
    <definedName name="Divided">'[1]Risk Score Calculator'!$K$2:$K$3</definedName>
    <definedName name="DividedExp">Exposure!$E$3:$E$43</definedName>
    <definedName name="DividedLaneFact" localSheetId="12">'2.2 70 D'!$H$22:$I$23</definedName>
    <definedName name="DividedLaneFact" localSheetId="23">'4.1 60 D'!$H$22:$I$23</definedName>
    <definedName name="DividedLaneFact" localSheetId="24">'4.2 70 D'!$H$22:$I$23</definedName>
    <definedName name="DividedLaneFact">'2.1 60 D'!$H$22:$I$23</definedName>
    <definedName name="DividedLanes">'Risk Score Calculator'!$K$2:$K$3</definedName>
    <definedName name="GradeFact" localSheetId="6">'1.2 70 U'!$M$22:$M$24</definedName>
    <definedName name="GradeFact" localSheetId="7">'1.3 80 U'!$M$22:$M$24</definedName>
    <definedName name="GradeFact" localSheetId="8">'1.4 90 U'!$M$22:$M$24</definedName>
    <definedName name="GradeFact" localSheetId="9">'1.5 100 U'!$M$22:$M$24</definedName>
    <definedName name="GradeFact" localSheetId="10">'1.6 110 U'!$M$22:$M$24</definedName>
    <definedName name="GradeFact" localSheetId="11">'2.1 60 D'!$M$22:$M$24</definedName>
    <definedName name="GradeFact" localSheetId="12">'2.2 70 D'!$M$22:$M$24</definedName>
    <definedName name="GradeFact" localSheetId="13">'2.3 80 D'!$M$22:$M$24</definedName>
    <definedName name="GradeFact" localSheetId="14">'2.4 90 D'!$M$22:$M$24</definedName>
    <definedName name="GradeFact" localSheetId="15">'2.5 100 D'!$M$22:$M$24</definedName>
    <definedName name="GradeFact" localSheetId="16">'2.6 110 D'!$M$22:$M$24</definedName>
    <definedName name="GradeFact" localSheetId="17">'3.1 60 U'!$M$22:$M$24</definedName>
    <definedName name="GradeFact" localSheetId="18">'3.2 70 U'!$M$22:$M$24</definedName>
    <definedName name="GradeFact" localSheetId="19">'3.3 80 U'!$M$22:$M$24</definedName>
    <definedName name="GradeFact" localSheetId="20">'3.4 90 U'!$M$22:$M$24</definedName>
    <definedName name="GradeFact" localSheetId="21">'3.5 100 U'!$M$22:$M$24</definedName>
    <definedName name="GradeFact" localSheetId="22">'3.6 110 U'!$M$22:$M$24</definedName>
    <definedName name="GradeFact" localSheetId="23">'4.1 60 D'!$M$22:$M$24</definedName>
    <definedName name="GradeFact" localSheetId="24">'4.2 70 D'!$M$22:$M$24</definedName>
    <definedName name="GradeFact" localSheetId="25">'4.3 80 D'!$M$22:$M$24</definedName>
    <definedName name="GradeFact" localSheetId="26">'4.4 90 D'!$M$22:$M$24</definedName>
    <definedName name="GradeFact" localSheetId="27">'4.5 100 D'!$M$22:$M$24</definedName>
    <definedName name="GradeFact" localSheetId="28">'4.6 110 D'!$M$22:$M$24</definedName>
    <definedName name="GradeFact">'1.1 60 U'!$M$22:$M$24</definedName>
    <definedName name="GradeFactor" localSheetId="6">'1.2 70 U'!$N$22:$O$24</definedName>
    <definedName name="GradeFactor" localSheetId="7">'1.3 80 U'!$N$22:$O$24</definedName>
    <definedName name="GradeFactor" localSheetId="8">'1.4 90 U'!$N$22:$O$24</definedName>
    <definedName name="GradeFactor" localSheetId="9">'1.5 100 U'!$N$22:$O$24</definedName>
    <definedName name="GradeFactor" localSheetId="10">'1.6 110 U'!$N$22:$O$24</definedName>
    <definedName name="GradeFactor" localSheetId="11">'2.1 60 D'!$N$22:$O$24</definedName>
    <definedName name="GradeFactor" localSheetId="12">'2.2 70 D'!$N$22:$O$24</definedName>
    <definedName name="GradeFactor" localSheetId="13">'2.3 80 D'!$N$22:$O$24</definedName>
    <definedName name="GradeFactor" localSheetId="14">'2.4 90 D'!$N$22:$O$24</definedName>
    <definedName name="GradeFactor" localSheetId="15">'2.5 100 D'!$N$22:$O$24</definedName>
    <definedName name="GradeFactor" localSheetId="16">'2.6 110 D'!$N$22:$O$24</definedName>
    <definedName name="GradeFactor" localSheetId="17">'3.1 60 U'!$N$22:$O$24</definedName>
    <definedName name="GradeFactor" localSheetId="18">'3.2 70 U'!$N$22:$O$24</definedName>
    <definedName name="GradeFactor" localSheetId="19">'3.3 80 U'!$N$22:$O$24</definedName>
    <definedName name="GradeFactor" localSheetId="20">'3.4 90 U'!$N$22:$O$24</definedName>
    <definedName name="GradeFactor" localSheetId="21">'3.5 100 U'!$N$22:$O$24</definedName>
    <definedName name="GradeFactor" localSheetId="22">'3.6 110 U'!$N$22:$O$24</definedName>
    <definedName name="GradeFactor" localSheetId="23">'4.1 60 D'!$N$22:$O$24</definedName>
    <definedName name="GradeFactor" localSheetId="24">'4.2 70 D'!$N$22:$O$26</definedName>
    <definedName name="GradeFactor" localSheetId="25">'4.3 80 D'!$N$22:$O$24</definedName>
    <definedName name="GradeFactor" localSheetId="26">'4.4 90 D'!$N$22:$O$24</definedName>
    <definedName name="GradeFactor" localSheetId="27">'4.5 100 D'!$N$22:$O$24</definedName>
    <definedName name="GradeFactor" localSheetId="28">'4.6 110 D'!$N$22:$O$24</definedName>
    <definedName name="GradeFactor">'1.1 60 U'!$N$22:$O$24</definedName>
    <definedName name="HighCurve">'[1]Risk Score Calculator'!$S$2:$S$13</definedName>
    <definedName name="LaneFact" localSheetId="6">'1.2 70 U'!$G$22:$H$23</definedName>
    <definedName name="LaneFact" localSheetId="7">'1.3 80 U'!$G$22:$H$23</definedName>
    <definedName name="LaneFact" localSheetId="8">'1.4 90 U'!$G$22:$H$23</definedName>
    <definedName name="LaneFact" localSheetId="9">'1.5 100 U'!$G$22:$H$23</definedName>
    <definedName name="LaneFact" localSheetId="10">'1.6 110 U'!$G$22:$H$23</definedName>
    <definedName name="LaneFact" localSheetId="11">'2.1 60 D'!$H$22:$H$23</definedName>
    <definedName name="LaneFact" localSheetId="12">'2.2 70 D'!$H$22:$H$23</definedName>
    <definedName name="LaneFact" localSheetId="13">'2.3 80 D'!$G$22:$H$23</definedName>
    <definedName name="LaneFact" localSheetId="14">'2.4 90 D'!$G$22:$H$23</definedName>
    <definedName name="LaneFact" localSheetId="15">'2.5 100 D'!$G$22:$H$23</definedName>
    <definedName name="LaneFact" localSheetId="16">'2.6 110 D'!$G$22:$H$23</definedName>
    <definedName name="LaneFact" localSheetId="17">'3.1 60 U'!$G$22:$H$23</definedName>
    <definedName name="LaneFact" localSheetId="18">'3.2 70 U'!$G$22:$H$23</definedName>
    <definedName name="LaneFact" localSheetId="19">'3.3 80 U'!$G$22:$H$23</definedName>
    <definedName name="LaneFact" localSheetId="20">'3.4 90 U'!$G$22:$H$23</definedName>
    <definedName name="LaneFact" localSheetId="21">'3.5 100 U'!$G$22:$H$23</definedName>
    <definedName name="LaneFact" localSheetId="22">'3.6 110 U'!$G$22:$H$23</definedName>
    <definedName name="LaneFact" localSheetId="23">'4.1 60 D'!$H$22:$H$23</definedName>
    <definedName name="LaneFact" localSheetId="24">'4.2 70 D'!$H$22:$H$23</definedName>
    <definedName name="LaneFact" localSheetId="25">'4.3 80 D'!$G$22:$H$23</definedName>
    <definedName name="LaneFact" localSheetId="26">'4.4 90 D'!$G$22:$H$23</definedName>
    <definedName name="LaneFact" localSheetId="27">'4.5 100 D'!$G$22:$H$23</definedName>
    <definedName name="LaneFact" localSheetId="28">'4.6 110 D'!$G$22:$H$23</definedName>
    <definedName name="LaneFact">'1.1 60 U'!$G$22:$H$23</definedName>
    <definedName name="lanefactUsixty" localSheetId="6">'1.2 70 U'!$J$22:$K$25</definedName>
    <definedName name="lanefactUsixty" localSheetId="7">'1.3 80 U'!$J$22:$K$25</definedName>
    <definedName name="lanefactUsixty" localSheetId="8">'1.4 90 U'!$J$22:$K$25</definedName>
    <definedName name="lanefactUsixty" localSheetId="9">'1.5 100 U'!$J$22:$K$25</definedName>
    <definedName name="lanefactUsixty" localSheetId="10">'1.6 110 U'!$J$22:$K$25</definedName>
    <definedName name="lanefactUsixty" localSheetId="11">'2.1 60 D'!$J$22:$K$25</definedName>
    <definedName name="lanefactUsixty" localSheetId="12">'2.2 70 D'!$J$22:$K$25</definedName>
    <definedName name="lanefactUsixty" localSheetId="13">'2.3 80 D'!$J$22:$K$25</definedName>
    <definedName name="lanefactUsixty" localSheetId="14">'2.4 90 D'!$J$22:$K$25</definedName>
    <definedName name="lanefactUsixty" localSheetId="15">'2.5 100 D'!$J$22:$K$25</definedName>
    <definedName name="lanefactUsixty" localSheetId="16">'2.6 110 D'!$J$22:$K$25</definedName>
    <definedName name="lanefactUsixty" localSheetId="17">'3.1 60 U'!$J$22:$K$25</definedName>
    <definedName name="lanefactUsixty" localSheetId="18">'3.2 70 U'!$J$22:$K$25</definedName>
    <definedName name="lanefactUsixty" localSheetId="19">'3.3 80 U'!$J$22:$K$25</definedName>
    <definedName name="lanefactUsixty" localSheetId="20">'3.4 90 U'!$J$22:$K$25</definedName>
    <definedName name="lanefactUsixty" localSheetId="21">'3.5 100 U'!$J$22:$K$25</definedName>
    <definedName name="lanefactUsixty" localSheetId="22">'3.6 110 U'!$J$22:$K$25</definedName>
    <definedName name="lanefactUsixty" localSheetId="23">'4.1 60 D'!$J$22:$K$25</definedName>
    <definedName name="lanefactUsixty" localSheetId="24">'4.2 70 D'!$J$22:$K$25</definedName>
    <definedName name="lanefactUsixty" localSheetId="25">'4.3 80 D'!$J$22:$K$25</definedName>
    <definedName name="lanefactUsixty" localSheetId="26">'4.4 90 D'!$J$22:$K$25</definedName>
    <definedName name="lanefactUsixty" localSheetId="27">'4.5 100 D'!$J$22:$K$25</definedName>
    <definedName name="lanefactUsixty" localSheetId="28">'4.6 110 D'!$J$22:$K$25</definedName>
    <definedName name="lanefactUsixty">'1.1 60 U'!$J$22:$K$25</definedName>
    <definedName name="LaneWidth" localSheetId="6">'1.2 70 U'!$I$22:$J$25</definedName>
    <definedName name="LaneWidth" localSheetId="7">'1.3 80 U'!$I$22:$J$25</definedName>
    <definedName name="LaneWidth" localSheetId="8">'1.4 90 U'!$I$22:$J$25</definedName>
    <definedName name="LaneWidth" localSheetId="9">'1.5 100 U'!$I$22:$J$25</definedName>
    <definedName name="LaneWidth" localSheetId="10">'1.6 110 U'!$I$22:$J$25</definedName>
    <definedName name="LaneWidth" localSheetId="11">'2.1 60 D'!$I$22:$J$25</definedName>
    <definedName name="LaneWidth" localSheetId="12">'2.2 70 D'!$I$22:$J$25</definedName>
    <definedName name="LaneWidth" localSheetId="13">'2.3 80 D'!$I$22:$J$25</definedName>
    <definedName name="LaneWidth" localSheetId="14">'2.4 90 D'!$I$22:$J$25</definedName>
    <definedName name="LaneWidth" localSheetId="15">'2.5 100 D'!$I$22:$J$25</definedName>
    <definedName name="LaneWidth" localSheetId="16">'2.6 110 D'!$I$22:$J$25</definedName>
    <definedName name="LaneWidth" localSheetId="17">'3.1 60 U'!$I$22:$J$25</definedName>
    <definedName name="LaneWidth" localSheetId="18">'3.2 70 U'!$I$22:$J$25</definedName>
    <definedName name="LaneWidth" localSheetId="19">'3.3 80 U'!$I$22:$J$25</definedName>
    <definedName name="LaneWidth" localSheetId="20">'3.4 90 U'!$I$22:$J$25</definedName>
    <definedName name="LaneWidth" localSheetId="21">'3.5 100 U'!$I$22:$J$25</definedName>
    <definedName name="LaneWidth" localSheetId="22">'3.6 110 U'!$I$22:$J$25</definedName>
    <definedName name="LaneWidth" localSheetId="23">'4.1 60 D'!$I$22:$J$25</definedName>
    <definedName name="LaneWidth" localSheetId="24">'4.2 70 D'!$I$22:$J$25</definedName>
    <definedName name="LaneWidth" localSheetId="25">'4.3 80 D'!$I$22:$J$25</definedName>
    <definedName name="LaneWidth" localSheetId="26">'4.4 90 D'!$I$22:$J$25</definedName>
    <definedName name="LaneWidth" localSheetId="27">'4.5 100 D'!$I$22:$J$25</definedName>
    <definedName name="LaneWidth" localSheetId="28">'4.6 110 D'!$I$22:$J$25</definedName>
    <definedName name="LaneWidth">'1.1 60 U'!$I$22:$J$25</definedName>
    <definedName name="likelihoodcurve" localSheetId="6">'1.2 70 U'!$Z$27:$AA$194</definedName>
    <definedName name="likelihoodcurve" localSheetId="7">'1.3 80 U'!$Z$27:$AA$194</definedName>
    <definedName name="likelihoodcurve" localSheetId="8">'1.4 90 U'!$Z$27:$AA$194</definedName>
    <definedName name="likelihoodcurve" localSheetId="9">'1.5 100 U'!$Z$27:$AA$194</definedName>
    <definedName name="likelihoodcurve" localSheetId="10">'1.6 110 U'!$Z$27:$AA$194</definedName>
    <definedName name="likelihoodcurve" localSheetId="11">'2.1 60 D'!$Z$27:$AA$194</definedName>
    <definedName name="likelihoodcurve" localSheetId="12">'2.2 70 D'!$Z$27:$AA$194</definedName>
    <definedName name="likelihoodcurve" localSheetId="13">'2.3 80 D'!$Z$27:$AA$194</definedName>
    <definedName name="likelihoodcurve" localSheetId="14">'2.4 90 D'!$Z$27:$AA$194</definedName>
    <definedName name="likelihoodcurve" localSheetId="15">'2.5 100 D'!$Z$27:$AA$194</definedName>
    <definedName name="likelihoodcurve" localSheetId="16">'2.6 110 D'!$Z$27:$AA$194</definedName>
    <definedName name="likelihoodcurve" localSheetId="17">'3.1 60 U'!$Z$27:$AA$194</definedName>
    <definedName name="likelihoodcurve" localSheetId="18">'3.2 70 U'!$Z$27:$AA$194</definedName>
    <definedName name="likelihoodcurve" localSheetId="19">'3.3 80 U'!$Z$27:$AA$194</definedName>
    <definedName name="likelihoodcurve" localSheetId="20">'3.4 90 U'!$Z$27:$AA$194</definedName>
    <definedName name="likelihoodcurve" localSheetId="21">'3.5 100 U'!$Z$27:$AA$194</definedName>
    <definedName name="likelihoodcurve" localSheetId="22">'3.6 110 U'!$Z$27:$AA$194</definedName>
    <definedName name="likelihoodcurve" localSheetId="23">'4.1 60 D'!$Z$27:$AA$194</definedName>
    <definedName name="likelihoodcurve" localSheetId="24">'4.2 70 D'!$Z$27:$AA$194</definedName>
    <definedName name="likelihoodcurve" localSheetId="25">'4.3 80 D'!$Z$27:$AA$194</definedName>
    <definedName name="likelihoodcurve" localSheetId="26">'4.4 90 D'!$Z$27:$AA$194</definedName>
    <definedName name="likelihoodcurve" localSheetId="27">'4.5 100 D'!$Z$27:$AA$194</definedName>
    <definedName name="likelihoodcurve" localSheetId="28">'4.6 110 D'!$Z$27:$AA$194</definedName>
    <definedName name="likelihoodcurve">'1.1 60 U'!$Z$27:$AA$194</definedName>
    <definedName name="_xlnm.Print_Area" localSheetId="3">'Print Sheet'!$A$1:$F$42</definedName>
    <definedName name="_xlnm.Print_Area" localSheetId="2">'Roadside Risk Checklist'!$B$2:$E$16</definedName>
    <definedName name="RiskScoresSum">Working!$D$4:$F$27</definedName>
    <definedName name="SeventyCurve">'[1]Risk Score Calculator'!$R$2:$R$13</definedName>
    <definedName name="TerrainFact" localSheetId="6">'1.2 70 U'!$K$22:$L$24</definedName>
    <definedName name="TerrainFact" localSheetId="7">'1.3 80 U'!$K$22:$L$24</definedName>
    <definedName name="TerrainFact" localSheetId="8">'1.4 90 U'!$K$22:$L$24</definedName>
    <definedName name="TerrainFact" localSheetId="9">'1.5 100 U'!$K$22:$L$24</definedName>
    <definedName name="TerrainFact" localSheetId="10">'1.6 110 U'!$K$22:$L$24</definedName>
    <definedName name="TerrainFact" localSheetId="11">'2.1 60 D'!$K$22:$L$24</definedName>
    <definedName name="TerrainFact" localSheetId="12">'2.2 70 D'!$K$22:$L$24</definedName>
    <definedName name="TerrainFact" localSheetId="13">'2.3 80 D'!$K$22:$L$24</definedName>
    <definedName name="TerrainFact" localSheetId="14">'2.4 90 D'!$K$22:$L$24</definedName>
    <definedName name="TerrainFact" localSheetId="15">'2.5 100 D'!$K$22:$L$24</definedName>
    <definedName name="TerrainFact" localSheetId="16">'2.6 110 D'!$K$22:$L$24</definedName>
    <definedName name="TerrainFact" localSheetId="17">'3.1 60 U'!$K$22:$L$24</definedName>
    <definedName name="TerrainFact" localSheetId="18">'3.2 70 U'!$K$22:$L$24</definedName>
    <definedName name="TerrainFact" localSheetId="19">'3.3 80 U'!$K$22:$L$24</definedName>
    <definedName name="TerrainFact" localSheetId="20">'3.4 90 U'!$K$22:$L$24</definedName>
    <definedName name="TerrainFact" localSheetId="21">'3.5 100 U'!$K$22:$L$24</definedName>
    <definedName name="TerrainFact" localSheetId="22">'3.6 110 U'!$K$22:$L$24</definedName>
    <definedName name="TerrainFact" localSheetId="23">'4.1 60 D'!$K$22:$L$24</definedName>
    <definedName name="TerrainFact" localSheetId="24">'4.2 70 D'!$K$22:$L$24</definedName>
    <definedName name="TerrainFact" localSheetId="25">'4.3 80 D'!$K$22:$L$24</definedName>
    <definedName name="TerrainFact" localSheetId="26">'4.4 90 D'!$K$22:$L$24</definedName>
    <definedName name="TerrainFact" localSheetId="27">'4.5 100 D'!$K$22:$L$24</definedName>
    <definedName name="TerrainFact" localSheetId="28">'4.6 110 D'!$K$22:$L$24</definedName>
    <definedName name="TerrainFact">'1.1 60 U'!$K$22:$L$24</definedName>
    <definedName name="terrainfactUsixty" localSheetId="6">'1.2 70 U'!$L$22:$M$24</definedName>
    <definedName name="terrainfactUsixty" localSheetId="7">'1.3 80 U'!$L$22:$M$24</definedName>
    <definedName name="terrainfactUsixty" localSheetId="8">'1.4 90 U'!$L$22:$M$24</definedName>
    <definedName name="terrainfactUsixty" localSheetId="9">'1.5 100 U'!$L$22:$M$24</definedName>
    <definedName name="terrainfactUsixty" localSheetId="10">'1.6 110 U'!$L$22:$M$24</definedName>
    <definedName name="terrainfactUsixty" localSheetId="11">'2.1 60 D'!$L$22:$M$24</definedName>
    <definedName name="terrainfactUsixty" localSheetId="12">'2.2 70 D'!$L$22:$M$24</definedName>
    <definedName name="terrainfactUsixty" localSheetId="13">'2.3 80 D'!$L$22:$M$24</definedName>
    <definedName name="terrainfactUsixty" localSheetId="14">'2.4 90 D'!$L$22:$M$24</definedName>
    <definedName name="terrainfactUsixty" localSheetId="15">'2.5 100 D'!$L$22:$M$24</definedName>
    <definedName name="terrainfactUsixty" localSheetId="16">'2.6 110 D'!$L$22:$M$24</definedName>
    <definedName name="terrainfactUsixty" localSheetId="17">'3.1 60 U'!$L$22:$M$24</definedName>
    <definedName name="terrainfactUsixty" localSheetId="18">'3.2 70 U'!$L$22:$M$24</definedName>
    <definedName name="terrainfactUsixty" localSheetId="19">'3.3 80 U'!$L$22:$M$24</definedName>
    <definedName name="terrainfactUsixty" localSheetId="20">'3.4 90 U'!$L$22:$M$24</definedName>
    <definedName name="terrainfactUsixty" localSheetId="21">'3.5 100 U'!$L$22:$M$24</definedName>
    <definedName name="terrainfactUsixty" localSheetId="22">'3.6 110 U'!$L$22:$M$24</definedName>
    <definedName name="terrainfactUsixty" localSheetId="23">'4.1 60 D'!$L$22:$M$24</definedName>
    <definedName name="terrainfactUsixty" localSheetId="24">'4.2 70 D'!$L$22:$M$24</definedName>
    <definedName name="terrainfactUsixty" localSheetId="25">'4.3 80 D'!$L$22:$M$24</definedName>
    <definedName name="terrainfactUsixty" localSheetId="26">'4.4 90 D'!$L$22:$M$24</definedName>
    <definedName name="terrainfactUsixty" localSheetId="27">'4.5 100 D'!$L$22:$M$24</definedName>
    <definedName name="terrainfactUsixty" localSheetId="28">'4.6 110 D'!$L$22:$M$24</definedName>
    <definedName name="terrainfactUsixty">'1.1 60 U'!$L$22:$M$24</definedName>
    <definedName name="TraumaHazard" localSheetId="6">'1.2 70 U'!$AN$3:$AP$107</definedName>
    <definedName name="TraumaHazard" localSheetId="7">'1.3 80 U'!$AN$3:$AP$107</definedName>
    <definedName name="TraumaHazard" localSheetId="8">'1.4 90 U'!$AN$3:$AP$107</definedName>
    <definedName name="TraumaHazard" localSheetId="9">'1.5 100 U'!$AN$3:$AP$107</definedName>
    <definedName name="TraumaHazard" localSheetId="10">'1.6 110 U'!$AN$3:$AP$107</definedName>
    <definedName name="TraumaHazard" localSheetId="11">'2.1 60 D'!$AN$3:$AP$107</definedName>
    <definedName name="TraumaHazard" localSheetId="12">'2.2 70 D'!$AN$3:$AP$107</definedName>
    <definedName name="TraumaHazard" localSheetId="13">'2.3 80 D'!$AN$3:$AP$107</definedName>
    <definedName name="TraumaHazard" localSheetId="14">'2.4 90 D'!$AN$3:$AP$107</definedName>
    <definedName name="TraumaHazard" localSheetId="15">'2.5 100 D'!$AN$3:$AP$107</definedName>
    <definedName name="TraumaHazard" localSheetId="16">'2.6 110 D'!$AN$3:$AP$107</definedName>
    <definedName name="TraumaHazard" localSheetId="17">'3.1 60 U'!$AN$3:$AP$107</definedName>
    <definedName name="TraumaHazard" localSheetId="18">'3.2 70 U'!$AN$3:$AP$107</definedName>
    <definedName name="TraumaHazard" localSheetId="19">'3.3 80 U'!$AN$3:$AP$107</definedName>
    <definedName name="TraumaHazard" localSheetId="20">'3.4 90 U'!$AN$3:$AP$107</definedName>
    <definedName name="TraumaHazard" localSheetId="21">'3.5 100 U'!$AN$3:$AP$107</definedName>
    <definedName name="TraumaHazard" localSheetId="22">'3.6 110 U'!$AN$3:$AP$107</definedName>
    <definedName name="TraumaHazard" localSheetId="23">'4.1 60 D'!$AN$3:$AP$107</definedName>
    <definedName name="TraumaHazard" localSheetId="24">'4.2 70 D'!$AN$3:$AP$107</definedName>
    <definedName name="TraumaHazard" localSheetId="25">'4.3 80 D'!$AN$3:$AP$107</definedName>
    <definedName name="TraumaHazard" localSheetId="26">'4.4 90 D'!$AN$3:$AP$107</definedName>
    <definedName name="TraumaHazard" localSheetId="27">'4.5 100 D'!$AN$3:$AP$107</definedName>
    <definedName name="TraumaHazard" localSheetId="28">'4.6 110 D'!$AN$3:$AP$107</definedName>
    <definedName name="TraumaHazard">'1.1 60 U'!$AN$3:$AP$107</definedName>
    <definedName name="Undivided">'[1]Risk Score Calculator'!$J$2:$J$3</definedName>
    <definedName name="UndividedExp">Exposure!$B$3:$B$23</definedName>
    <definedName name="UndividedLanes">'Risk Score Calculator'!$J$2:$J$3</definedName>
    <definedName name="UnExp">Exposure!$B$3:$C$23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I34" i="31"/>
  <c r="I33" i="31"/>
  <c r="I34" i="30"/>
  <c r="I33" i="30"/>
  <c r="I34" i="29"/>
  <c r="I33" i="29"/>
  <c r="I34" i="28"/>
  <c r="I33" i="28"/>
  <c r="I34" i="26"/>
  <c r="I33" i="26"/>
  <c r="I34" i="25"/>
  <c r="I33" i="25"/>
  <c r="I34" i="24"/>
  <c r="I33" i="24"/>
  <c r="I34" i="23"/>
  <c r="I33" i="23"/>
  <c r="I34" i="22"/>
  <c r="I33" i="22"/>
  <c r="I34" i="21"/>
  <c r="I33" i="21"/>
  <c r="I34" i="20"/>
  <c r="I33" i="20"/>
  <c r="I34" i="19"/>
  <c r="I33" i="19"/>
  <c r="I34" i="18"/>
  <c r="I33" i="18"/>
  <c r="I34" i="17"/>
  <c r="I33" i="17"/>
  <c r="I34" i="16"/>
  <c r="I33" i="16"/>
  <c r="I34" i="15"/>
  <c r="I33" i="15"/>
  <c r="I34" i="14"/>
  <c r="I33" i="14"/>
  <c r="I34" i="13"/>
  <c r="I33" i="13"/>
  <c r="I34" i="12"/>
  <c r="I33" i="12"/>
  <c r="I34" i="11"/>
  <c r="I33" i="11"/>
  <c r="I34" i="10"/>
  <c r="I33" i="10"/>
  <c r="I34" i="9"/>
  <c r="I33" i="9"/>
  <c r="I34" i="8"/>
  <c r="I33" i="8"/>
  <c r="I34" i="6"/>
  <c r="I33" i="6"/>
  <c r="H18" i="3" l="1"/>
  <c r="G18" i="3"/>
  <c r="F18" i="3"/>
  <c r="E18" i="3"/>
  <c r="D18" i="3"/>
  <c r="H108" i="3"/>
  <c r="G108" i="3"/>
  <c r="F108" i="3"/>
  <c r="E108" i="3"/>
  <c r="D108" i="3"/>
  <c r="H107" i="3"/>
  <c r="G107" i="3"/>
  <c r="F107" i="3"/>
  <c r="E107" i="3"/>
  <c r="D107" i="3"/>
  <c r="H106" i="3"/>
  <c r="G106" i="3"/>
  <c r="F106" i="3"/>
  <c r="E106" i="3"/>
  <c r="D106" i="3"/>
  <c r="H105" i="3"/>
  <c r="G105" i="3"/>
  <c r="F105" i="3"/>
  <c r="E105" i="3"/>
  <c r="D105" i="3"/>
  <c r="H104" i="3"/>
  <c r="G104" i="3"/>
  <c r="F104" i="3"/>
  <c r="E104" i="3"/>
  <c r="D104" i="3"/>
  <c r="H103" i="3"/>
  <c r="G103" i="3"/>
  <c r="F103" i="3"/>
  <c r="E103" i="3"/>
  <c r="D103" i="3"/>
  <c r="H102" i="3"/>
  <c r="G102" i="3"/>
  <c r="F102" i="3"/>
  <c r="E102" i="3"/>
  <c r="D102" i="3"/>
  <c r="H101" i="3"/>
  <c r="G101" i="3"/>
  <c r="F101" i="3"/>
  <c r="E101" i="3"/>
  <c r="D101" i="3"/>
  <c r="H100" i="3"/>
  <c r="G100" i="3"/>
  <c r="F100" i="3"/>
  <c r="E100" i="3"/>
  <c r="D100" i="3"/>
  <c r="H99" i="3"/>
  <c r="G99" i="3"/>
  <c r="F99" i="3"/>
  <c r="E99" i="3"/>
  <c r="D99" i="3"/>
  <c r="H98" i="3"/>
  <c r="G98" i="3"/>
  <c r="F98" i="3"/>
  <c r="E98" i="3"/>
  <c r="D98" i="3"/>
  <c r="H97" i="3"/>
  <c r="G97" i="3"/>
  <c r="F97" i="3"/>
  <c r="E97" i="3"/>
  <c r="D97" i="3"/>
  <c r="H96" i="3"/>
  <c r="G96" i="3"/>
  <c r="F96" i="3"/>
  <c r="E96" i="3"/>
  <c r="D96" i="3"/>
  <c r="H95" i="3"/>
  <c r="G95" i="3"/>
  <c r="F95" i="3"/>
  <c r="E95" i="3"/>
  <c r="D95" i="3"/>
  <c r="H94" i="3"/>
  <c r="G94" i="3"/>
  <c r="F94" i="3"/>
  <c r="E94" i="3"/>
  <c r="D94" i="3"/>
  <c r="H93" i="3"/>
  <c r="G93" i="3"/>
  <c r="F93" i="3"/>
  <c r="E93" i="3"/>
  <c r="D93" i="3"/>
  <c r="H92" i="3"/>
  <c r="G92" i="3"/>
  <c r="F92" i="3"/>
  <c r="E92" i="3"/>
  <c r="D92" i="3"/>
  <c r="H91" i="3"/>
  <c r="G91" i="3"/>
  <c r="F91" i="3"/>
  <c r="E91" i="3"/>
  <c r="D91" i="3"/>
  <c r="H90" i="3"/>
  <c r="G90" i="3"/>
  <c r="F90" i="3"/>
  <c r="E90" i="3"/>
  <c r="D90" i="3"/>
  <c r="H89" i="3"/>
  <c r="G89" i="3"/>
  <c r="F89" i="3"/>
  <c r="E89" i="3"/>
  <c r="D89" i="3"/>
  <c r="H88" i="3"/>
  <c r="G88" i="3"/>
  <c r="F88" i="3"/>
  <c r="E88" i="3"/>
  <c r="D88" i="3"/>
  <c r="H87" i="3"/>
  <c r="G87" i="3"/>
  <c r="F87" i="3"/>
  <c r="E87" i="3"/>
  <c r="D87" i="3"/>
  <c r="H86" i="3"/>
  <c r="G86" i="3"/>
  <c r="F86" i="3"/>
  <c r="E86" i="3"/>
  <c r="D86" i="3"/>
  <c r="H85" i="3"/>
  <c r="G85" i="3"/>
  <c r="F85" i="3"/>
  <c r="E85" i="3"/>
  <c r="D85" i="3"/>
  <c r="H84" i="3"/>
  <c r="G84" i="3"/>
  <c r="F84" i="3"/>
  <c r="E84" i="3"/>
  <c r="D84" i="3"/>
  <c r="H83" i="3"/>
  <c r="G83" i="3"/>
  <c r="F83" i="3"/>
  <c r="E83" i="3"/>
  <c r="D83" i="3"/>
  <c r="H82" i="3"/>
  <c r="G82" i="3"/>
  <c r="F82" i="3"/>
  <c r="E82" i="3"/>
  <c r="D82" i="3"/>
  <c r="H81" i="3"/>
  <c r="G81" i="3"/>
  <c r="F81" i="3"/>
  <c r="E81" i="3"/>
  <c r="D81" i="3"/>
  <c r="H80" i="3"/>
  <c r="G80" i="3"/>
  <c r="F80" i="3"/>
  <c r="E80" i="3"/>
  <c r="D80" i="3"/>
  <c r="H79" i="3"/>
  <c r="G79" i="3"/>
  <c r="F79" i="3"/>
  <c r="E79" i="3"/>
  <c r="D79" i="3"/>
  <c r="H78" i="3"/>
  <c r="G78" i="3"/>
  <c r="F78" i="3"/>
  <c r="E78" i="3"/>
  <c r="D78" i="3"/>
  <c r="H77" i="3"/>
  <c r="G77" i="3"/>
  <c r="F77" i="3"/>
  <c r="E77" i="3"/>
  <c r="D77" i="3"/>
  <c r="H76" i="3"/>
  <c r="G76" i="3"/>
  <c r="F76" i="3"/>
  <c r="E76" i="3"/>
  <c r="D76" i="3"/>
  <c r="H75" i="3"/>
  <c r="G75" i="3"/>
  <c r="F75" i="3"/>
  <c r="E75" i="3"/>
  <c r="D75" i="3"/>
  <c r="H74" i="3"/>
  <c r="G74" i="3"/>
  <c r="F74" i="3"/>
  <c r="E74" i="3"/>
  <c r="D74" i="3"/>
  <c r="H73" i="3"/>
  <c r="G73" i="3"/>
  <c r="F73" i="3"/>
  <c r="E73" i="3"/>
  <c r="D73" i="3"/>
  <c r="H72" i="3"/>
  <c r="G72" i="3"/>
  <c r="F72" i="3"/>
  <c r="E72" i="3"/>
  <c r="D72" i="3"/>
  <c r="H71" i="3"/>
  <c r="G71" i="3"/>
  <c r="F71" i="3"/>
  <c r="E71" i="3"/>
  <c r="D71" i="3"/>
  <c r="H70" i="3"/>
  <c r="G70" i="3"/>
  <c r="F70" i="3"/>
  <c r="E70" i="3"/>
  <c r="D70" i="3"/>
  <c r="H69" i="3"/>
  <c r="G69" i="3"/>
  <c r="F69" i="3"/>
  <c r="E69" i="3"/>
  <c r="D69" i="3"/>
  <c r="H68" i="3"/>
  <c r="G68" i="3"/>
  <c r="F68" i="3"/>
  <c r="E68" i="3"/>
  <c r="D68" i="3"/>
  <c r="H67" i="3"/>
  <c r="G67" i="3"/>
  <c r="F67" i="3"/>
  <c r="E67" i="3"/>
  <c r="D67" i="3"/>
  <c r="H66" i="3"/>
  <c r="G66" i="3"/>
  <c r="F66" i="3"/>
  <c r="E66" i="3"/>
  <c r="D66" i="3"/>
  <c r="H65" i="3"/>
  <c r="G65" i="3"/>
  <c r="F65" i="3"/>
  <c r="E65" i="3"/>
  <c r="D65" i="3"/>
  <c r="H64" i="3"/>
  <c r="G64" i="3"/>
  <c r="F64" i="3"/>
  <c r="E64" i="3"/>
  <c r="D64" i="3"/>
  <c r="H63" i="3"/>
  <c r="G63" i="3"/>
  <c r="F63" i="3"/>
  <c r="E63" i="3"/>
  <c r="D63" i="3"/>
  <c r="H62" i="3"/>
  <c r="G62" i="3"/>
  <c r="F62" i="3"/>
  <c r="E62" i="3"/>
  <c r="D62" i="3"/>
  <c r="H61" i="3"/>
  <c r="G61" i="3"/>
  <c r="F61" i="3"/>
  <c r="E61" i="3"/>
  <c r="D61" i="3"/>
  <c r="H60" i="3"/>
  <c r="G60" i="3"/>
  <c r="F60" i="3"/>
  <c r="E60" i="3"/>
  <c r="D60" i="3"/>
  <c r="H59" i="3"/>
  <c r="G59" i="3"/>
  <c r="F59" i="3"/>
  <c r="E59" i="3"/>
  <c r="D59" i="3"/>
  <c r="H58" i="3"/>
  <c r="G58" i="3"/>
  <c r="F58" i="3"/>
  <c r="E58" i="3"/>
  <c r="D58" i="3"/>
  <c r="H57" i="3"/>
  <c r="G57" i="3"/>
  <c r="F57" i="3"/>
  <c r="E57" i="3"/>
  <c r="D57" i="3"/>
  <c r="H56" i="3"/>
  <c r="G56" i="3"/>
  <c r="F56" i="3"/>
  <c r="E56" i="3"/>
  <c r="D56" i="3"/>
  <c r="H55" i="3"/>
  <c r="G55" i="3"/>
  <c r="F55" i="3"/>
  <c r="E55" i="3"/>
  <c r="D55" i="3"/>
  <c r="H54" i="3"/>
  <c r="G54" i="3"/>
  <c r="F54" i="3"/>
  <c r="E54" i="3"/>
  <c r="D54" i="3"/>
  <c r="H53" i="3"/>
  <c r="G53" i="3"/>
  <c r="F53" i="3"/>
  <c r="E53" i="3"/>
  <c r="D53" i="3"/>
  <c r="H52" i="3"/>
  <c r="G52" i="3"/>
  <c r="F52" i="3"/>
  <c r="E52" i="3"/>
  <c r="D52" i="3"/>
  <c r="H51" i="3"/>
  <c r="G51" i="3"/>
  <c r="F51" i="3"/>
  <c r="E51" i="3"/>
  <c r="D51" i="3"/>
  <c r="H50" i="3"/>
  <c r="G50" i="3"/>
  <c r="F50" i="3"/>
  <c r="E50" i="3"/>
  <c r="D50" i="3"/>
  <c r="H49" i="3"/>
  <c r="G49" i="3"/>
  <c r="F49" i="3"/>
  <c r="E49" i="3"/>
  <c r="D49" i="3"/>
  <c r="H48" i="3"/>
  <c r="G48" i="3"/>
  <c r="F48" i="3"/>
  <c r="E48" i="3"/>
  <c r="D48" i="3"/>
  <c r="H47" i="3"/>
  <c r="G47" i="3"/>
  <c r="F47" i="3"/>
  <c r="E47" i="3"/>
  <c r="D47" i="3"/>
  <c r="H46" i="3"/>
  <c r="G46" i="3"/>
  <c r="F46" i="3"/>
  <c r="E46" i="3"/>
  <c r="D46" i="3"/>
  <c r="H45" i="3"/>
  <c r="G45" i="3"/>
  <c r="F45" i="3"/>
  <c r="E45" i="3"/>
  <c r="D45" i="3"/>
  <c r="H44" i="3"/>
  <c r="G44" i="3"/>
  <c r="F44" i="3"/>
  <c r="E44" i="3"/>
  <c r="D44" i="3"/>
  <c r="H43" i="3"/>
  <c r="G43" i="3"/>
  <c r="F43" i="3"/>
  <c r="E43" i="3"/>
  <c r="D43" i="3"/>
  <c r="H42" i="3"/>
  <c r="G42" i="3"/>
  <c r="F42" i="3"/>
  <c r="E42" i="3"/>
  <c r="D42" i="3"/>
  <c r="H41" i="3"/>
  <c r="G41" i="3"/>
  <c r="F41" i="3"/>
  <c r="E41" i="3"/>
  <c r="D41" i="3"/>
  <c r="H40" i="3"/>
  <c r="G40" i="3"/>
  <c r="F40" i="3"/>
  <c r="E40" i="3"/>
  <c r="D40" i="3"/>
  <c r="H39" i="3"/>
  <c r="G39" i="3"/>
  <c r="F39" i="3"/>
  <c r="E39" i="3"/>
  <c r="D39" i="3"/>
  <c r="H38" i="3"/>
  <c r="G38" i="3"/>
  <c r="F38" i="3"/>
  <c r="E38" i="3"/>
  <c r="D38" i="3"/>
  <c r="H37" i="3"/>
  <c r="G37" i="3"/>
  <c r="F37" i="3"/>
  <c r="E37" i="3"/>
  <c r="D37" i="3"/>
  <c r="H36" i="3"/>
  <c r="G36" i="3"/>
  <c r="F36" i="3"/>
  <c r="E36" i="3"/>
  <c r="D36" i="3"/>
  <c r="H35" i="3"/>
  <c r="G35" i="3"/>
  <c r="F35" i="3"/>
  <c r="E35" i="3"/>
  <c r="D35" i="3"/>
  <c r="H34" i="3"/>
  <c r="G34" i="3"/>
  <c r="F34" i="3"/>
  <c r="E34" i="3"/>
  <c r="D34" i="3"/>
  <c r="H33" i="3"/>
  <c r="G33" i="3"/>
  <c r="F33" i="3"/>
  <c r="E33" i="3"/>
  <c r="D33" i="3"/>
  <c r="H32" i="3"/>
  <c r="G32" i="3"/>
  <c r="F32" i="3"/>
  <c r="E32" i="3"/>
  <c r="D32" i="3"/>
  <c r="H31" i="3"/>
  <c r="G31" i="3"/>
  <c r="F31" i="3"/>
  <c r="E31" i="3"/>
  <c r="D31" i="3"/>
  <c r="H30" i="3"/>
  <c r="G30" i="3"/>
  <c r="F30" i="3"/>
  <c r="E30" i="3"/>
  <c r="D30" i="3"/>
  <c r="H29" i="3"/>
  <c r="G29" i="3"/>
  <c r="F29" i="3"/>
  <c r="E29" i="3"/>
  <c r="D29" i="3"/>
  <c r="H28" i="3"/>
  <c r="G28" i="3"/>
  <c r="F28" i="3"/>
  <c r="E28" i="3"/>
  <c r="D28" i="3"/>
  <c r="H27" i="3"/>
  <c r="G27" i="3"/>
  <c r="F27" i="3"/>
  <c r="E27" i="3"/>
  <c r="D27" i="3"/>
  <c r="H26" i="3"/>
  <c r="G26" i="3"/>
  <c r="F26" i="3"/>
  <c r="E26" i="3"/>
  <c r="D26" i="3"/>
  <c r="H25" i="3"/>
  <c r="G25" i="3"/>
  <c r="F25" i="3"/>
  <c r="E25" i="3"/>
  <c r="D25" i="3"/>
  <c r="H24" i="3"/>
  <c r="G24" i="3"/>
  <c r="F24" i="3"/>
  <c r="E24" i="3"/>
  <c r="D24" i="3"/>
  <c r="H23" i="3"/>
  <c r="G23" i="3"/>
  <c r="F23" i="3"/>
  <c r="E23" i="3"/>
  <c r="D23" i="3"/>
  <c r="H22" i="3"/>
  <c r="G22" i="3"/>
  <c r="F22" i="3"/>
  <c r="E22" i="3"/>
  <c r="D22" i="3"/>
  <c r="H17" i="3"/>
  <c r="G17" i="3"/>
  <c r="F17" i="3"/>
  <c r="E17" i="3"/>
  <c r="D17" i="3"/>
  <c r="H19" i="3"/>
  <c r="G19" i="3"/>
  <c r="F19" i="3"/>
  <c r="E19" i="3"/>
  <c r="D19" i="3"/>
  <c r="H20" i="3"/>
  <c r="G20" i="3"/>
  <c r="F20" i="3"/>
  <c r="E20" i="3"/>
  <c r="D20" i="3"/>
  <c r="H10" i="3"/>
  <c r="G10" i="3"/>
  <c r="F10" i="3"/>
  <c r="E10" i="3"/>
  <c r="D10" i="3"/>
  <c r="H21" i="3"/>
  <c r="G21" i="3"/>
  <c r="F21" i="3"/>
  <c r="E21" i="3"/>
  <c r="D21" i="3"/>
  <c r="H6" i="3"/>
  <c r="G6" i="3"/>
  <c r="F6" i="3"/>
  <c r="E6" i="3"/>
  <c r="D6" i="3"/>
  <c r="H16" i="3"/>
  <c r="G16" i="3"/>
  <c r="F16" i="3"/>
  <c r="E16" i="3"/>
  <c r="D16" i="3"/>
  <c r="H15" i="3"/>
  <c r="G15" i="3"/>
  <c r="F15" i="3"/>
  <c r="E15" i="3"/>
  <c r="D15" i="3"/>
  <c r="H9" i="3"/>
  <c r="G9" i="3"/>
  <c r="F9" i="3"/>
  <c r="E9" i="3"/>
  <c r="D9" i="3"/>
  <c r="H14" i="3"/>
  <c r="G14" i="3"/>
  <c r="F14" i="3"/>
  <c r="E14" i="3"/>
  <c r="D14" i="3"/>
  <c r="H5" i="3"/>
  <c r="G5" i="3"/>
  <c r="F5" i="3"/>
  <c r="E5" i="3"/>
  <c r="D5" i="3"/>
  <c r="H8" i="3"/>
  <c r="G8" i="3"/>
  <c r="F8" i="3"/>
  <c r="E8" i="3"/>
  <c r="D8" i="3"/>
  <c r="H13" i="3"/>
  <c r="G13" i="3"/>
  <c r="F13" i="3"/>
  <c r="E13" i="3"/>
  <c r="D13" i="3"/>
  <c r="H12" i="3"/>
  <c r="G12" i="3"/>
  <c r="F12" i="3"/>
  <c r="E12" i="3"/>
  <c r="D12" i="3"/>
  <c r="H11" i="3"/>
  <c r="G11" i="3"/>
  <c r="F11" i="3"/>
  <c r="E11" i="3"/>
  <c r="D11" i="3"/>
  <c r="H7" i="3"/>
  <c r="G7" i="3"/>
  <c r="F7" i="3"/>
  <c r="E7" i="3"/>
  <c r="D7" i="3"/>
  <c r="H4" i="3"/>
  <c r="G4" i="3"/>
  <c r="F4" i="3"/>
  <c r="E4" i="3"/>
  <c r="D4" i="3"/>
  <c r="H3" i="3"/>
  <c r="G3" i="3"/>
  <c r="F3" i="3"/>
  <c r="E3" i="3"/>
  <c r="D3" i="3"/>
  <c r="C2" i="34"/>
  <c r="E1" i="2"/>
  <c r="B2" i="32"/>
  <c r="C25" i="32" s="1"/>
  <c r="H34" i="31"/>
  <c r="F33" i="31"/>
  <c r="E33" i="31" s="1"/>
  <c r="O27" i="32" s="1"/>
  <c r="E20" i="31"/>
  <c r="H18" i="31" s="1"/>
  <c r="I18" i="31" s="1"/>
  <c r="E19" i="31"/>
  <c r="E18" i="31"/>
  <c r="E17" i="31"/>
  <c r="H36" i="31" s="1"/>
  <c r="I36" i="31" s="1"/>
  <c r="E16" i="31"/>
  <c r="H16" i="31" s="1"/>
  <c r="I16" i="31" s="1"/>
  <c r="E15" i="31"/>
  <c r="H35" i="31" s="1"/>
  <c r="I35" i="31" s="1"/>
  <c r="E14" i="31"/>
  <c r="F13" i="31"/>
  <c r="E13" i="31"/>
  <c r="H15" i="31" s="1"/>
  <c r="I15" i="31" s="1"/>
  <c r="E12" i="31"/>
  <c r="E25" i="31" s="1"/>
  <c r="E11" i="31"/>
  <c r="E10" i="31"/>
  <c r="E9" i="31"/>
  <c r="E8" i="31"/>
  <c r="E21" i="31" s="1"/>
  <c r="G27" i="32" s="1"/>
  <c r="E7" i="31"/>
  <c r="E23" i="31" s="1"/>
  <c r="I27" i="32" s="1"/>
  <c r="E6" i="31"/>
  <c r="E2" i="31"/>
  <c r="H34" i="30"/>
  <c r="F33" i="30"/>
  <c r="E33" i="30" s="1"/>
  <c r="O26" i="32" s="1"/>
  <c r="E20" i="30"/>
  <c r="H18" i="30" s="1"/>
  <c r="I18" i="30" s="1"/>
  <c r="E19" i="30"/>
  <c r="E18" i="30"/>
  <c r="E17" i="30"/>
  <c r="H36" i="30" s="1"/>
  <c r="I36" i="30" s="1"/>
  <c r="E16" i="30"/>
  <c r="H16" i="30" s="1"/>
  <c r="I16" i="30" s="1"/>
  <c r="E15" i="30"/>
  <c r="H35" i="30" s="1"/>
  <c r="I35" i="30" s="1"/>
  <c r="E14" i="30"/>
  <c r="F13" i="30"/>
  <c r="E13" i="30"/>
  <c r="H15" i="30" s="1"/>
  <c r="I15" i="30" s="1"/>
  <c r="E12" i="30"/>
  <c r="E25" i="30" s="1"/>
  <c r="E11" i="30"/>
  <c r="E10" i="30"/>
  <c r="E9" i="30"/>
  <c r="E8" i="30"/>
  <c r="E21" i="30" s="1"/>
  <c r="G26" i="32" s="1"/>
  <c r="E7" i="30"/>
  <c r="E23" i="30" s="1"/>
  <c r="I26" i="32" s="1"/>
  <c r="E6" i="30"/>
  <c r="E2" i="30"/>
  <c r="H34" i="29"/>
  <c r="F33" i="29"/>
  <c r="E33" i="29" s="1"/>
  <c r="O25" i="32" s="1"/>
  <c r="E20" i="29"/>
  <c r="H18" i="29" s="1"/>
  <c r="I18" i="29" s="1"/>
  <c r="E19" i="29"/>
  <c r="E18" i="29"/>
  <c r="E17" i="29"/>
  <c r="H36" i="29" s="1"/>
  <c r="I36" i="29" s="1"/>
  <c r="E16" i="29"/>
  <c r="H16" i="29" s="1"/>
  <c r="I16" i="29" s="1"/>
  <c r="E15" i="29"/>
  <c r="H35" i="29" s="1"/>
  <c r="I35" i="29" s="1"/>
  <c r="E14" i="29"/>
  <c r="F13" i="29"/>
  <c r="E13" i="29"/>
  <c r="H15" i="29" s="1"/>
  <c r="I15" i="29" s="1"/>
  <c r="E12" i="29"/>
  <c r="E25" i="29" s="1"/>
  <c r="E11" i="29"/>
  <c r="E10" i="29"/>
  <c r="E9" i="29"/>
  <c r="E8" i="29"/>
  <c r="E21" i="29" s="1"/>
  <c r="G25" i="32" s="1"/>
  <c r="E7" i="29"/>
  <c r="E23" i="29" s="1"/>
  <c r="I25" i="32" s="1"/>
  <c r="E6" i="29"/>
  <c r="E2" i="29"/>
  <c r="H34" i="28"/>
  <c r="F33" i="28"/>
  <c r="E33" i="28" s="1"/>
  <c r="O24" i="32" s="1"/>
  <c r="E20" i="28"/>
  <c r="H18" i="28" s="1"/>
  <c r="I18" i="28" s="1"/>
  <c r="E19" i="28"/>
  <c r="E18" i="28"/>
  <c r="E17" i="28"/>
  <c r="H36" i="28" s="1"/>
  <c r="I36" i="28" s="1"/>
  <c r="E16" i="28"/>
  <c r="H16" i="28" s="1"/>
  <c r="I16" i="28" s="1"/>
  <c r="E15" i="28"/>
  <c r="H35" i="28" s="1"/>
  <c r="I35" i="28" s="1"/>
  <c r="E14" i="28"/>
  <c r="F13" i="28"/>
  <c r="E13" i="28"/>
  <c r="H15" i="28" s="1"/>
  <c r="I15" i="28" s="1"/>
  <c r="E12" i="28"/>
  <c r="E25" i="28" s="1"/>
  <c r="E11" i="28"/>
  <c r="E10" i="28"/>
  <c r="E9" i="28"/>
  <c r="E8" i="28"/>
  <c r="E21" i="28" s="1"/>
  <c r="G24" i="32" s="1"/>
  <c r="E7" i="28"/>
  <c r="E23" i="28" s="1"/>
  <c r="I24" i="32" s="1"/>
  <c r="E6" i="28"/>
  <c r="E2" i="28"/>
  <c r="H34" i="26"/>
  <c r="F33" i="26"/>
  <c r="E33" i="26" s="1"/>
  <c r="O23" i="32" s="1"/>
  <c r="E20" i="26"/>
  <c r="H18" i="26" s="1"/>
  <c r="I18" i="26" s="1"/>
  <c r="E19" i="26"/>
  <c r="E18" i="26"/>
  <c r="E17" i="26"/>
  <c r="H36" i="26" s="1"/>
  <c r="I36" i="26" s="1"/>
  <c r="E16" i="26"/>
  <c r="H16" i="26" s="1"/>
  <c r="I16" i="26" s="1"/>
  <c r="E15" i="26"/>
  <c r="H35" i="26" s="1"/>
  <c r="I35" i="26" s="1"/>
  <c r="E14" i="26"/>
  <c r="F13" i="26"/>
  <c r="E13" i="26"/>
  <c r="H15" i="26" s="1"/>
  <c r="I15" i="26" s="1"/>
  <c r="E12" i="26"/>
  <c r="E25" i="26" s="1"/>
  <c r="E11" i="26"/>
  <c r="E10" i="26"/>
  <c r="E9" i="26"/>
  <c r="E8" i="26"/>
  <c r="E21" i="26" s="1"/>
  <c r="G23" i="32" s="1"/>
  <c r="E7" i="26"/>
  <c r="E23" i="26" s="1"/>
  <c r="I23" i="32" s="1"/>
  <c r="E6" i="26"/>
  <c r="E2" i="26"/>
  <c r="E36" i="29" l="1" a="1"/>
  <c r="E36" i="29" s="1"/>
  <c r="E37" i="29" a="1"/>
  <c r="E37" i="29" s="1"/>
  <c r="E37" i="26" a="1"/>
  <c r="E37" i="26" s="1"/>
  <c r="E36" i="26" a="1"/>
  <c r="E36" i="26" s="1"/>
  <c r="E36" i="28" a="1"/>
  <c r="E36" i="28" s="1"/>
  <c r="E37" i="28" a="1"/>
  <c r="E37" i="28" s="1"/>
  <c r="E37" i="31" a="1"/>
  <c r="E37" i="31" s="1"/>
  <c r="E36" i="31" a="1"/>
  <c r="E36" i="31" s="1"/>
  <c r="E37" i="30" a="1"/>
  <c r="E37" i="30" s="1"/>
  <c r="E36" i="30" a="1"/>
  <c r="E36" i="30" s="1"/>
  <c r="E34" i="31" a="1"/>
  <c r="E34" i="31" s="1"/>
  <c r="E35" i="31" a="1"/>
  <c r="E35" i="31" s="1"/>
  <c r="E35" i="30" a="1"/>
  <c r="E35" i="30" s="1"/>
  <c r="E34" i="30" a="1"/>
  <c r="E34" i="30" s="1"/>
  <c r="P26" i="32" s="1"/>
  <c r="E35" i="29" a="1"/>
  <c r="E35" i="29" s="1"/>
  <c r="E34" i="29" a="1"/>
  <c r="E34" i="29" s="1"/>
  <c r="E35" i="26" a="1"/>
  <c r="E35" i="26" s="1"/>
  <c r="E34" i="26" a="1"/>
  <c r="E34" i="26" s="1"/>
  <c r="E34" i="28" a="1"/>
  <c r="E34" i="28" s="1"/>
  <c r="E35" i="28" a="1"/>
  <c r="E35" i="28" s="1"/>
  <c r="K27" i="32"/>
  <c r="K26" i="32"/>
  <c r="K25" i="32"/>
  <c r="K24" i="32"/>
  <c r="K23" i="32"/>
  <c r="E29" i="28"/>
  <c r="E24" i="28"/>
  <c r="J24" i="32" s="1"/>
  <c r="E24" i="31"/>
  <c r="J27" i="32" s="1"/>
  <c r="E24" i="29"/>
  <c r="J25" i="32" s="1"/>
  <c r="E24" i="30"/>
  <c r="J26" i="32" s="1"/>
  <c r="E24" i="26"/>
  <c r="J23" i="32" s="1"/>
  <c r="E22" i="28"/>
  <c r="E22" i="31"/>
  <c r="H27" i="32" s="1"/>
  <c r="E22" i="29"/>
  <c r="E22" i="30"/>
  <c r="H26" i="32" s="1"/>
  <c r="E22" i="26"/>
  <c r="H23" i="32" s="1"/>
  <c r="H17" i="28"/>
  <c r="I17" i="28" s="1"/>
  <c r="E31" i="28" s="1" a="1"/>
  <c r="E31" i="28" s="1"/>
  <c r="E28" i="29" a="1"/>
  <c r="E28" i="29" s="1"/>
  <c r="M25" i="32" s="1"/>
  <c r="E29" i="26"/>
  <c r="E29" i="30"/>
  <c r="C9" i="32"/>
  <c r="C13" i="32"/>
  <c r="H39" i="32" s="1"/>
  <c r="C18" i="32"/>
  <c r="L44" i="32" s="1"/>
  <c r="C5" i="32"/>
  <c r="C23" i="32"/>
  <c r="L49" i="32" s="1"/>
  <c r="D51" i="32"/>
  <c r="O51" i="32"/>
  <c r="M51" i="32"/>
  <c r="H51" i="32"/>
  <c r="S51" i="32"/>
  <c r="P51" i="32"/>
  <c r="L51" i="32"/>
  <c r="J51" i="32"/>
  <c r="I51" i="32"/>
  <c r="N51" i="32"/>
  <c r="G51" i="32"/>
  <c r="Q51" i="32"/>
  <c r="R51" i="32"/>
  <c r="N44" i="32"/>
  <c r="K51" i="32"/>
  <c r="C6" i="32"/>
  <c r="C10" i="32"/>
  <c r="D36" i="32" s="1"/>
  <c r="C14" i="32"/>
  <c r="F40" i="32" s="1"/>
  <c r="C19" i="32"/>
  <c r="E45" i="32" s="1"/>
  <c r="C24" i="32"/>
  <c r="E50" i="32" s="1"/>
  <c r="C20" i="32"/>
  <c r="C16" i="32"/>
  <c r="C7" i="32"/>
  <c r="C11" i="32"/>
  <c r="C15" i="32"/>
  <c r="C21" i="32"/>
  <c r="C26" i="32"/>
  <c r="C4" i="32"/>
  <c r="C8" i="32"/>
  <c r="C12" i="32"/>
  <c r="C17" i="32"/>
  <c r="C22" i="32"/>
  <c r="C27" i="32"/>
  <c r="L27" i="29"/>
  <c r="E26" i="29" s="1"/>
  <c r="L25" i="32" s="1"/>
  <c r="E29" i="29"/>
  <c r="E51" i="32"/>
  <c r="H17" i="29"/>
  <c r="I17" i="29" s="1"/>
  <c r="E31" i="29" s="1" a="1"/>
  <c r="E31" i="29" s="1"/>
  <c r="L27" i="31"/>
  <c r="E26" i="31" s="1"/>
  <c r="L27" i="32" s="1"/>
  <c r="F51" i="32"/>
  <c r="H17" i="31"/>
  <c r="I17" i="31" s="1"/>
  <c r="E31" i="31" s="1" a="1"/>
  <c r="E31" i="31" s="1"/>
  <c r="E29" i="31"/>
  <c r="L27" i="26"/>
  <c r="E26" i="26" s="1"/>
  <c r="L23" i="32" s="1"/>
  <c r="E28" i="26" a="1"/>
  <c r="E28" i="26" s="1"/>
  <c r="M23" i="32" s="1"/>
  <c r="L27" i="30"/>
  <c r="E26" i="30" s="1"/>
  <c r="L26" i="32" s="1"/>
  <c r="E28" i="30" a="1"/>
  <c r="E28" i="30" s="1"/>
  <c r="M26" i="32" s="1"/>
  <c r="L27" i="28"/>
  <c r="E26" i="28" s="1"/>
  <c r="L24" i="32" s="1"/>
  <c r="H17" i="26"/>
  <c r="I17" i="26" s="1"/>
  <c r="E31" i="26" s="1" a="1"/>
  <c r="E31" i="26" s="1"/>
  <c r="H17" i="30"/>
  <c r="I17" i="30" s="1"/>
  <c r="E31" i="30" s="1" a="1"/>
  <c r="E31" i="30" s="1"/>
  <c r="S27" i="32"/>
  <c r="R27" i="32"/>
  <c r="E28" i="31" a="1"/>
  <c r="E28" i="31" s="1"/>
  <c r="M27" i="32" s="1"/>
  <c r="Q27" i="32"/>
  <c r="P27" i="32"/>
  <c r="R26" i="32"/>
  <c r="R25" i="32"/>
  <c r="P25" i="32"/>
  <c r="P24" i="32"/>
  <c r="R24" i="32"/>
  <c r="E28" i="28" a="1"/>
  <c r="E28" i="28" s="1"/>
  <c r="P23" i="32"/>
  <c r="R23" i="32"/>
  <c r="E30" i="28" l="1"/>
  <c r="E30" i="29"/>
  <c r="E30" i="30"/>
  <c r="E30" i="31"/>
  <c r="E30" i="26"/>
  <c r="F36" i="32"/>
  <c r="E27" i="30"/>
  <c r="E41" i="30" s="1"/>
  <c r="F26" i="32" s="1"/>
  <c r="F52" i="32" s="1"/>
  <c r="E27" i="31"/>
  <c r="E41" i="31" s="1"/>
  <c r="F27" i="32" s="1"/>
  <c r="F53" i="32" s="1"/>
  <c r="E27" i="29"/>
  <c r="E41" i="29" s="1"/>
  <c r="F25" i="32" s="1"/>
  <c r="E27" i="28"/>
  <c r="E41" i="28" s="1"/>
  <c r="F24" i="32" s="1"/>
  <c r="K35" i="32"/>
  <c r="D49" i="32"/>
  <c r="M49" i="32"/>
  <c r="N35" i="32"/>
  <c r="E27" i="26"/>
  <c r="E41" i="26" s="1"/>
  <c r="F23" i="32" s="1"/>
  <c r="H25" i="32"/>
  <c r="H24" i="32"/>
  <c r="G44" i="32"/>
  <c r="M39" i="32"/>
  <c r="E32" i="26"/>
  <c r="N23" i="32"/>
  <c r="M24" i="32"/>
  <c r="E32" i="28"/>
  <c r="N24" i="32"/>
  <c r="E32" i="31"/>
  <c r="N27" i="32"/>
  <c r="E32" i="29"/>
  <c r="N25" i="32"/>
  <c r="E32" i="30"/>
  <c r="N26" i="32"/>
  <c r="N52" i="32" s="1"/>
  <c r="K44" i="32"/>
  <c r="P44" i="32"/>
  <c r="H44" i="32"/>
  <c r="E44" i="32"/>
  <c r="D44" i="32"/>
  <c r="F44" i="32"/>
  <c r="H49" i="32"/>
  <c r="R44" i="32"/>
  <c r="M44" i="32"/>
  <c r="Q44" i="32"/>
  <c r="J44" i="32"/>
  <c r="F49" i="32"/>
  <c r="S44" i="32"/>
  <c r="O44" i="32"/>
  <c r="I44" i="32"/>
  <c r="I35" i="32"/>
  <c r="J49" i="32"/>
  <c r="N49" i="32"/>
  <c r="P39" i="32"/>
  <c r="R35" i="32"/>
  <c r="S35" i="32"/>
  <c r="P49" i="32"/>
  <c r="R49" i="32"/>
  <c r="G39" i="32"/>
  <c r="Q35" i="32"/>
  <c r="H35" i="32"/>
  <c r="F39" i="32"/>
  <c r="N39" i="32"/>
  <c r="E49" i="32"/>
  <c r="D45" i="32"/>
  <c r="E39" i="32"/>
  <c r="S49" i="32"/>
  <c r="O49" i="32"/>
  <c r="Q49" i="32"/>
  <c r="R39" i="32"/>
  <c r="S39" i="32"/>
  <c r="D39" i="32"/>
  <c r="G35" i="32"/>
  <c r="L35" i="32"/>
  <c r="M35" i="32"/>
  <c r="K39" i="32"/>
  <c r="O39" i="32"/>
  <c r="I49" i="32"/>
  <c r="G49" i="32"/>
  <c r="K49" i="32"/>
  <c r="J39" i="32"/>
  <c r="Q39" i="32"/>
  <c r="P35" i="32"/>
  <c r="L39" i="32"/>
  <c r="I39" i="32"/>
  <c r="Q48" i="32"/>
  <c r="P48" i="32"/>
  <c r="O48" i="32"/>
  <c r="N48" i="32"/>
  <c r="R48" i="32"/>
  <c r="S48" i="32"/>
  <c r="L48" i="32"/>
  <c r="J48" i="32"/>
  <c r="M48" i="32"/>
  <c r="F50" i="32"/>
  <c r="S50" i="32"/>
  <c r="N50" i="32"/>
  <c r="L50" i="32"/>
  <c r="J50" i="32"/>
  <c r="G50" i="32"/>
  <c r="Q50" i="32"/>
  <c r="M50" i="32"/>
  <c r="R50" i="32"/>
  <c r="O50" i="32"/>
  <c r="K50" i="32"/>
  <c r="H50" i="32"/>
  <c r="P50" i="32"/>
  <c r="I50" i="32"/>
  <c r="I32" i="32"/>
  <c r="O32" i="32"/>
  <c r="N32" i="32"/>
  <c r="K32" i="32"/>
  <c r="L32" i="32"/>
  <c r="J32" i="32"/>
  <c r="D50" i="32"/>
  <c r="O43" i="32"/>
  <c r="H43" i="32"/>
  <c r="Q43" i="32"/>
  <c r="R43" i="32"/>
  <c r="K43" i="32"/>
  <c r="S43" i="32"/>
  <c r="P43" i="32"/>
  <c r="J43" i="32"/>
  <c r="I43" i="32"/>
  <c r="P52" i="32"/>
  <c r="I52" i="32"/>
  <c r="R52" i="32"/>
  <c r="K52" i="32"/>
  <c r="O52" i="32"/>
  <c r="L52" i="32"/>
  <c r="J52" i="32"/>
  <c r="M52" i="32"/>
  <c r="G52" i="32"/>
  <c r="H52" i="32"/>
  <c r="R33" i="32"/>
  <c r="K33" i="32"/>
  <c r="J33" i="32"/>
  <c r="Q33" i="32"/>
  <c r="N33" i="32"/>
  <c r="M33" i="32"/>
  <c r="G33" i="32"/>
  <c r="S33" i="32"/>
  <c r="O33" i="32"/>
  <c r="P33" i="32"/>
  <c r="I33" i="32"/>
  <c r="L33" i="32"/>
  <c r="F45" i="32"/>
  <c r="R45" i="32"/>
  <c r="K45" i="32"/>
  <c r="S45" i="32"/>
  <c r="L45" i="32"/>
  <c r="J45" i="32"/>
  <c r="Q45" i="32"/>
  <c r="N45" i="32"/>
  <c r="M45" i="32"/>
  <c r="G45" i="32"/>
  <c r="O45" i="32"/>
  <c r="H45" i="32"/>
  <c r="P45" i="32"/>
  <c r="I45" i="32"/>
  <c r="O38" i="32"/>
  <c r="I38" i="32"/>
  <c r="S42" i="32"/>
  <c r="R42" i="32"/>
  <c r="O42" i="32"/>
  <c r="P42" i="32"/>
  <c r="Q42" i="32"/>
  <c r="E40" i="32"/>
  <c r="Q40" i="32"/>
  <c r="P40" i="32"/>
  <c r="I40" i="32"/>
  <c r="S40" i="32"/>
  <c r="L40" i="32"/>
  <c r="J40" i="32"/>
  <c r="N40" i="32"/>
  <c r="G40" i="32"/>
  <c r="O40" i="32"/>
  <c r="H40" i="32"/>
  <c r="R40" i="32"/>
  <c r="K40" i="32"/>
  <c r="R53" i="32"/>
  <c r="K53" i="32"/>
  <c r="O53" i="32"/>
  <c r="H53" i="32"/>
  <c r="P53" i="32"/>
  <c r="I53" i="32"/>
  <c r="S53" i="32"/>
  <c r="L53" i="32"/>
  <c r="J53" i="32"/>
  <c r="Q53" i="32"/>
  <c r="N53" i="32"/>
  <c r="M53" i="32"/>
  <c r="G53" i="32"/>
  <c r="S34" i="32"/>
  <c r="G34" i="32"/>
  <c r="J34" i="32"/>
  <c r="Q34" i="32"/>
  <c r="R34" i="32"/>
  <c r="O34" i="32"/>
  <c r="K34" i="32"/>
  <c r="H34" i="32"/>
  <c r="P34" i="32"/>
  <c r="I34" i="32"/>
  <c r="R41" i="32"/>
  <c r="K41" i="32"/>
  <c r="P41" i="32"/>
  <c r="I41" i="32"/>
  <c r="O41" i="32"/>
  <c r="S41" i="32"/>
  <c r="L41" i="32"/>
  <c r="J41" i="32"/>
  <c r="Q41" i="32"/>
  <c r="N41" i="32"/>
  <c r="G41" i="32"/>
  <c r="J46" i="32"/>
  <c r="I46" i="32"/>
  <c r="O46" i="32"/>
  <c r="K46" i="32"/>
  <c r="E36" i="32"/>
  <c r="Q36" i="32"/>
  <c r="P36" i="32"/>
  <c r="I36" i="32"/>
  <c r="R36" i="32"/>
  <c r="K36" i="32"/>
  <c r="O36" i="32"/>
  <c r="L36" i="32"/>
  <c r="S36" i="32"/>
  <c r="N36" i="32"/>
  <c r="M36" i="32"/>
  <c r="J36" i="32"/>
  <c r="G36" i="32"/>
  <c r="H36" i="32"/>
  <c r="E39" i="31" l="1"/>
  <c r="D27" i="32" s="1"/>
  <c r="D53" i="32" s="1"/>
  <c r="E40" i="31"/>
  <c r="E27" i="32" s="1"/>
  <c r="E53" i="32" s="1"/>
  <c r="E42" i="31" l="1"/>
  <c r="H34" i="25"/>
  <c r="F33" i="25"/>
  <c r="E33" i="25" s="1"/>
  <c r="O22" i="32" s="1"/>
  <c r="E20" i="25"/>
  <c r="H18" i="25" s="1"/>
  <c r="I18" i="25" s="1"/>
  <c r="E19" i="25"/>
  <c r="E18" i="25"/>
  <c r="E17" i="25"/>
  <c r="H36" i="25" s="1"/>
  <c r="I36" i="25" s="1"/>
  <c r="E16" i="25"/>
  <c r="H16" i="25" s="1"/>
  <c r="I16" i="25" s="1"/>
  <c r="E15" i="25"/>
  <c r="H35" i="25" s="1"/>
  <c r="I35" i="25" s="1"/>
  <c r="E14" i="25"/>
  <c r="F13" i="25"/>
  <c r="E13" i="25"/>
  <c r="H15" i="25" s="1"/>
  <c r="I15" i="25" s="1"/>
  <c r="E12" i="25"/>
  <c r="E11" i="25"/>
  <c r="E10" i="25"/>
  <c r="E9" i="25"/>
  <c r="E8" i="25"/>
  <c r="E21" i="25" s="1"/>
  <c r="G22" i="32" s="1"/>
  <c r="G48" i="32" s="1"/>
  <c r="E7" i="25"/>
  <c r="E23" i="25" s="1"/>
  <c r="I22" i="32" s="1"/>
  <c r="I48" i="32" s="1"/>
  <c r="E6" i="25"/>
  <c r="E2" i="25"/>
  <c r="H34" i="24"/>
  <c r="F33" i="24"/>
  <c r="E33" i="24" s="1"/>
  <c r="O21" i="32" s="1"/>
  <c r="O47" i="32" s="1"/>
  <c r="E20" i="24"/>
  <c r="H18" i="24" s="1"/>
  <c r="I18" i="24" s="1"/>
  <c r="E19" i="24"/>
  <c r="E18" i="24"/>
  <c r="E17" i="24"/>
  <c r="H36" i="24" s="1"/>
  <c r="I36" i="24" s="1"/>
  <c r="E16" i="24"/>
  <c r="H16" i="24" s="1"/>
  <c r="I16" i="24" s="1"/>
  <c r="E15" i="24"/>
  <c r="H35" i="24" s="1"/>
  <c r="I35" i="24" s="1"/>
  <c r="E14" i="24"/>
  <c r="F13" i="24"/>
  <c r="E13" i="24"/>
  <c r="H15" i="24" s="1"/>
  <c r="I15" i="24" s="1"/>
  <c r="E12" i="24"/>
  <c r="E11" i="24"/>
  <c r="E10" i="24"/>
  <c r="E9" i="24"/>
  <c r="E8" i="24"/>
  <c r="E21" i="24" s="1"/>
  <c r="G21" i="32" s="1"/>
  <c r="G47" i="32" s="1"/>
  <c r="E7" i="24"/>
  <c r="E23" i="24" s="1"/>
  <c r="I21" i="32" s="1"/>
  <c r="I47" i="32" s="1"/>
  <c r="E6" i="24"/>
  <c r="E2" i="24"/>
  <c r="E24" i="24" s="1"/>
  <c r="J21" i="32" s="1"/>
  <c r="J47" i="32" s="1"/>
  <c r="E36" i="24" l="1" a="1"/>
  <c r="E36" i="24" s="1"/>
  <c r="E37" i="24" a="1"/>
  <c r="E37" i="24" s="1"/>
  <c r="S21" i="32" s="1"/>
  <c r="S47" i="32" s="1"/>
  <c r="E37" i="25" a="1"/>
  <c r="E37" i="25" s="1"/>
  <c r="E36" i="25" a="1"/>
  <c r="E36" i="25" s="1"/>
  <c r="E34" i="25" a="1"/>
  <c r="E34" i="25" s="1"/>
  <c r="E35" i="25" a="1"/>
  <c r="E35" i="25" s="1"/>
  <c r="E34" i="24" a="1"/>
  <c r="E34" i="24" s="1"/>
  <c r="P21" i="32" s="1"/>
  <c r="P47" i="32" s="1"/>
  <c r="E35" i="24" a="1"/>
  <c r="E35" i="24" s="1"/>
  <c r="E25" i="24"/>
  <c r="K21" i="32" s="1"/>
  <c r="K47" i="32" s="1"/>
  <c r="E25" i="25"/>
  <c r="K22" i="32" s="1"/>
  <c r="K48" i="32" s="1"/>
  <c r="E24" i="25"/>
  <c r="J22" i="32" s="1"/>
  <c r="E22" i="24"/>
  <c r="H21" i="32" s="1"/>
  <c r="H47" i="32" s="1"/>
  <c r="E22" i="25"/>
  <c r="H22" i="32" s="1"/>
  <c r="H48" i="32" s="1"/>
  <c r="E29" i="25"/>
  <c r="E29" i="24"/>
  <c r="H17" i="24"/>
  <c r="I17" i="24" s="1"/>
  <c r="E31" i="24" s="1" a="1"/>
  <c r="E31" i="24" s="1"/>
  <c r="L27" i="24"/>
  <c r="E26" i="24" s="1"/>
  <c r="L27" i="25"/>
  <c r="E26" i="25" s="1"/>
  <c r="L22" i="32" s="1"/>
  <c r="H17" i="25"/>
  <c r="I17" i="25" s="1"/>
  <c r="E31" i="25" s="1" a="1"/>
  <c r="E31" i="25" s="1"/>
  <c r="R22" i="32"/>
  <c r="E28" i="25" a="1"/>
  <c r="E28" i="25" s="1"/>
  <c r="P22" i="32"/>
  <c r="R21" i="32"/>
  <c r="R47" i="32" s="1"/>
  <c r="E28" i="24" a="1"/>
  <c r="E28" i="24" s="1"/>
  <c r="M21" i="32" s="1"/>
  <c r="M47" i="32" s="1"/>
  <c r="Q21" i="32"/>
  <c r="Q47" i="32" s="1"/>
  <c r="E30" i="25" l="1"/>
  <c r="E30" i="24"/>
  <c r="E27" i="25"/>
  <c r="E41" i="25" s="1"/>
  <c r="F22" i="32" s="1"/>
  <c r="F48" i="32" s="1"/>
  <c r="M22" i="32"/>
  <c r="E32" i="24"/>
  <c r="N21" i="32"/>
  <c r="N47" i="32" s="1"/>
  <c r="E32" i="25"/>
  <c r="N22" i="32"/>
  <c r="E27" i="24"/>
  <c r="E41" i="24" s="1"/>
  <c r="F21" i="32" s="1"/>
  <c r="F47" i="32" s="1"/>
  <c r="L21" i="32"/>
  <c r="L47" i="32" s="1"/>
  <c r="E40" i="24" l="1"/>
  <c r="E21" i="32" s="1"/>
  <c r="E47" i="32" s="1"/>
  <c r="E39" i="24"/>
  <c r="D21" i="32" s="1"/>
  <c r="D47" i="32" s="1"/>
  <c r="E42" i="24" l="1"/>
  <c r="H34" i="23"/>
  <c r="F33" i="23"/>
  <c r="E33" i="23" s="1"/>
  <c r="O20" i="32" s="1"/>
  <c r="E20" i="23"/>
  <c r="H18" i="23" s="1"/>
  <c r="I18" i="23" s="1"/>
  <c r="E19" i="23"/>
  <c r="E18" i="23"/>
  <c r="E17" i="23"/>
  <c r="H36" i="23" s="1"/>
  <c r="I36" i="23" s="1"/>
  <c r="E16" i="23"/>
  <c r="H16" i="23" s="1"/>
  <c r="I16" i="23" s="1"/>
  <c r="E15" i="23"/>
  <c r="H35" i="23" s="1"/>
  <c r="I35" i="23" s="1"/>
  <c r="E14" i="23"/>
  <c r="F13" i="23"/>
  <c r="E13" i="23"/>
  <c r="H15" i="23" s="1"/>
  <c r="I15" i="23" s="1"/>
  <c r="E12" i="23"/>
  <c r="E11" i="23"/>
  <c r="E10" i="23"/>
  <c r="E9" i="23"/>
  <c r="E8" i="23"/>
  <c r="E7" i="23"/>
  <c r="E23" i="23" s="1"/>
  <c r="I20" i="32" s="1"/>
  <c r="E6" i="23"/>
  <c r="E2" i="23"/>
  <c r="E24" i="23" s="1"/>
  <c r="J20" i="32" s="1"/>
  <c r="H34" i="22"/>
  <c r="F33" i="22"/>
  <c r="E33" i="22" s="1"/>
  <c r="O19" i="32" s="1"/>
  <c r="E20" i="22"/>
  <c r="H18" i="22" s="1"/>
  <c r="I18" i="22" s="1"/>
  <c r="E19" i="22"/>
  <c r="E18" i="22"/>
  <c r="E17" i="22"/>
  <c r="H36" i="22" s="1"/>
  <c r="I36" i="22" s="1"/>
  <c r="E16" i="22"/>
  <c r="H16" i="22" s="1"/>
  <c r="I16" i="22" s="1"/>
  <c r="E15" i="22"/>
  <c r="H35" i="22" s="1"/>
  <c r="I35" i="22" s="1"/>
  <c r="E14" i="22"/>
  <c r="F13" i="22"/>
  <c r="E13" i="22"/>
  <c r="H15" i="22" s="1"/>
  <c r="I15" i="22" s="1"/>
  <c r="E12" i="22"/>
  <c r="E11" i="22"/>
  <c r="E10" i="22"/>
  <c r="E9" i="22"/>
  <c r="E8" i="22"/>
  <c r="E21" i="22" s="1"/>
  <c r="G19" i="32" s="1"/>
  <c r="E7" i="22"/>
  <c r="E23" i="22" s="1"/>
  <c r="I19" i="32" s="1"/>
  <c r="E6" i="22"/>
  <c r="E2" i="22"/>
  <c r="E24" i="22" s="1"/>
  <c r="J19" i="32" s="1"/>
  <c r="E37" i="22" l="1" a="1"/>
  <c r="E37" i="22" s="1"/>
  <c r="E36" i="22" a="1"/>
  <c r="E36" i="22" s="1"/>
  <c r="R19" i="32" s="1"/>
  <c r="E36" i="23" a="1"/>
  <c r="E36" i="23" s="1"/>
  <c r="R20" i="32" s="1"/>
  <c r="R46" i="32" s="1"/>
  <c r="E37" i="23" a="1"/>
  <c r="E37" i="23" s="1"/>
  <c r="E34" i="22" a="1"/>
  <c r="E34" i="22" s="1"/>
  <c r="E35" i="22" a="1"/>
  <c r="E35" i="22" s="1"/>
  <c r="E34" i="23" a="1"/>
  <c r="E34" i="23" s="1"/>
  <c r="P20" i="32" s="1"/>
  <c r="P46" i="32" s="1"/>
  <c r="E35" i="23" a="1"/>
  <c r="E35" i="23" s="1"/>
  <c r="E21" i="23"/>
  <c r="G20" i="32" s="1"/>
  <c r="G46" i="32" s="1"/>
  <c r="E25" i="22"/>
  <c r="K19" i="32" s="1"/>
  <c r="E25" i="23"/>
  <c r="K20" i="32" s="1"/>
  <c r="E22" i="23"/>
  <c r="H20" i="32" s="1"/>
  <c r="H46" i="32" s="1"/>
  <c r="E22" i="22"/>
  <c r="H19" i="32" s="1"/>
  <c r="E29" i="22"/>
  <c r="E29" i="23"/>
  <c r="L27" i="23"/>
  <c r="E26" i="23" s="1"/>
  <c r="L20" i="32" s="1"/>
  <c r="L46" i="32" s="1"/>
  <c r="L27" i="22"/>
  <c r="E26" i="22" s="1"/>
  <c r="H17" i="22"/>
  <c r="I17" i="22" s="1"/>
  <c r="E31" i="22" s="1" a="1"/>
  <c r="E31" i="22" s="1"/>
  <c r="E28" i="23" a="1"/>
  <c r="E28" i="23" s="1"/>
  <c r="M20" i="32" s="1"/>
  <c r="M46" i="32" s="1"/>
  <c r="H17" i="23"/>
  <c r="I17" i="23" s="1"/>
  <c r="E31" i="23" s="1" a="1"/>
  <c r="E31" i="23" s="1"/>
  <c r="E28" i="22" a="1"/>
  <c r="E28" i="22" s="1"/>
  <c r="P19" i="32"/>
  <c r="E30" i="22" l="1"/>
  <c r="E30" i="23"/>
  <c r="E27" i="23"/>
  <c r="E41" i="23" s="1"/>
  <c r="F20" i="32" s="1"/>
  <c r="F46" i="32" s="1"/>
  <c r="M19" i="32"/>
  <c r="E32" i="23"/>
  <c r="N20" i="32"/>
  <c r="N46" i="32" s="1"/>
  <c r="E32" i="22"/>
  <c r="N19" i="32"/>
  <c r="E27" i="22"/>
  <c r="L19" i="32"/>
  <c r="E41" i="22" l="1"/>
  <c r="F19" i="32" s="1"/>
  <c r="H34" i="21"/>
  <c r="F33" i="21"/>
  <c r="E33" i="21" s="1"/>
  <c r="O18" i="32" s="1"/>
  <c r="E20" i="21"/>
  <c r="H18" i="21" s="1"/>
  <c r="I18" i="21" s="1"/>
  <c r="E19" i="21"/>
  <c r="E18" i="21"/>
  <c r="E17" i="21"/>
  <c r="H36" i="21" s="1"/>
  <c r="I36" i="21" s="1"/>
  <c r="E16" i="21"/>
  <c r="H16" i="21" s="1"/>
  <c r="I16" i="21" s="1"/>
  <c r="E15" i="21"/>
  <c r="H35" i="21" s="1"/>
  <c r="I35" i="21" s="1"/>
  <c r="E14" i="21"/>
  <c r="F13" i="21"/>
  <c r="E13" i="21"/>
  <c r="H15" i="21" s="1"/>
  <c r="I15" i="21" s="1"/>
  <c r="E12" i="21"/>
  <c r="E11" i="21"/>
  <c r="E10" i="21"/>
  <c r="E9" i="21"/>
  <c r="E8" i="21"/>
  <c r="E21" i="21" s="1"/>
  <c r="G18" i="32" s="1"/>
  <c r="E7" i="21"/>
  <c r="E23" i="21" s="1"/>
  <c r="I18" i="32" s="1"/>
  <c r="E6" i="21"/>
  <c r="E2" i="21"/>
  <c r="E24" i="21" s="1"/>
  <c r="J18" i="32" s="1"/>
  <c r="H34" i="20"/>
  <c r="F33" i="20"/>
  <c r="E33" i="20" s="1"/>
  <c r="O17" i="32" s="1"/>
  <c r="E20" i="20"/>
  <c r="H18" i="20" s="1"/>
  <c r="I18" i="20" s="1"/>
  <c r="E19" i="20"/>
  <c r="E18" i="20"/>
  <c r="E17" i="20"/>
  <c r="H36" i="20" s="1"/>
  <c r="I36" i="20" s="1"/>
  <c r="E16" i="20"/>
  <c r="H16" i="20" s="1"/>
  <c r="I16" i="20" s="1"/>
  <c r="E15" i="20"/>
  <c r="H35" i="20" s="1"/>
  <c r="I35" i="20" s="1"/>
  <c r="E14" i="20"/>
  <c r="F13" i="20"/>
  <c r="E13" i="20"/>
  <c r="H15" i="20" s="1"/>
  <c r="I15" i="20" s="1"/>
  <c r="E12" i="20"/>
  <c r="E11" i="20"/>
  <c r="E10" i="20"/>
  <c r="E9" i="20"/>
  <c r="E8" i="20"/>
  <c r="E21" i="20" s="1"/>
  <c r="G17" i="32" s="1"/>
  <c r="G43" i="32" s="1"/>
  <c r="E7" i="20"/>
  <c r="E23" i="20" s="1"/>
  <c r="I17" i="32" s="1"/>
  <c r="E6" i="20"/>
  <c r="E2" i="20"/>
  <c r="E24" i="20" s="1"/>
  <c r="J17" i="32" s="1"/>
  <c r="E37" i="21" l="1" a="1"/>
  <c r="E37" i="21" s="1"/>
  <c r="E36" i="21" a="1"/>
  <c r="E36" i="21" s="1"/>
  <c r="E37" i="20" a="1"/>
  <c r="E37" i="20" s="1"/>
  <c r="E36" i="20" a="1"/>
  <c r="E36" i="20" s="1"/>
  <c r="R17" i="32" s="1"/>
  <c r="E34" i="20" a="1"/>
  <c r="E34" i="20" s="1"/>
  <c r="E35" i="20" a="1"/>
  <c r="E35" i="20" s="1"/>
  <c r="E34" i="21" a="1"/>
  <c r="E34" i="21" s="1"/>
  <c r="E35" i="21" a="1"/>
  <c r="E35" i="21" s="1"/>
  <c r="E25" i="20"/>
  <c r="K17" i="32" s="1"/>
  <c r="E25" i="21"/>
  <c r="K18" i="32" s="1"/>
  <c r="E22" i="20"/>
  <c r="H17" i="32" s="1"/>
  <c r="E22" i="21"/>
  <c r="H18" i="32" s="1"/>
  <c r="E29" i="21"/>
  <c r="E29" i="20"/>
  <c r="H17" i="20"/>
  <c r="I17" i="20" s="1"/>
  <c r="E31" i="20" s="1" a="1"/>
  <c r="E31" i="20" s="1"/>
  <c r="H17" i="21"/>
  <c r="I17" i="21" s="1"/>
  <c r="E31" i="21" s="1" a="1"/>
  <c r="E31" i="21" s="1"/>
  <c r="L27" i="20"/>
  <c r="E26" i="20" s="1"/>
  <c r="L17" i="32" s="1"/>
  <c r="L43" i="32" s="1"/>
  <c r="L27" i="21"/>
  <c r="E26" i="21" s="1"/>
  <c r="R18" i="32"/>
  <c r="E28" i="21" a="1"/>
  <c r="E28" i="21" s="1"/>
  <c r="P18" i="32"/>
  <c r="E28" i="20" a="1"/>
  <c r="E28" i="20" s="1"/>
  <c r="M17" i="32" s="1"/>
  <c r="M43" i="32" s="1"/>
  <c r="P17" i="32"/>
  <c r="E30" i="20" l="1"/>
  <c r="E30" i="21"/>
  <c r="M18" i="32"/>
  <c r="E32" i="21"/>
  <c r="N18" i="32"/>
  <c r="E32" i="20"/>
  <c r="N17" i="32"/>
  <c r="N43" i="32" s="1"/>
  <c r="E27" i="20"/>
  <c r="E41" i="20" s="1"/>
  <c r="F17" i="32" s="1"/>
  <c r="F43" i="32" s="1"/>
  <c r="E27" i="21"/>
  <c r="L18" i="32"/>
  <c r="E41" i="21" l="1"/>
  <c r="F18" i="32" s="1"/>
  <c r="H34" i="19" l="1"/>
  <c r="F33" i="19"/>
  <c r="E33" i="19" s="1"/>
  <c r="O16" i="32" s="1"/>
  <c r="E20" i="19"/>
  <c r="H18" i="19" s="1"/>
  <c r="I18" i="19" s="1"/>
  <c r="E19" i="19"/>
  <c r="E18" i="19"/>
  <c r="E17" i="19"/>
  <c r="H36" i="19" s="1"/>
  <c r="I36" i="19" s="1"/>
  <c r="E16" i="19"/>
  <c r="H16" i="19" s="1"/>
  <c r="I16" i="19" s="1"/>
  <c r="E15" i="19"/>
  <c r="H35" i="19" s="1"/>
  <c r="I35" i="19" s="1"/>
  <c r="E14" i="19"/>
  <c r="F13" i="19"/>
  <c r="E13" i="19"/>
  <c r="H15" i="19" s="1"/>
  <c r="I15" i="19" s="1"/>
  <c r="E12" i="19"/>
  <c r="E11" i="19"/>
  <c r="E10" i="19"/>
  <c r="E9" i="19"/>
  <c r="E8" i="19"/>
  <c r="E21" i="19" s="1"/>
  <c r="G16" i="32" s="1"/>
  <c r="G42" i="32" s="1"/>
  <c r="E7" i="19"/>
  <c r="E23" i="19" s="1"/>
  <c r="I16" i="32" s="1"/>
  <c r="I42" i="32" s="1"/>
  <c r="E6" i="19"/>
  <c r="E2" i="19"/>
  <c r="E24" i="19" s="1"/>
  <c r="J16" i="32" s="1"/>
  <c r="J42" i="32" s="1"/>
  <c r="H34" i="18"/>
  <c r="F33" i="18"/>
  <c r="E33" i="18" s="1"/>
  <c r="O15" i="32" s="1"/>
  <c r="E20" i="18"/>
  <c r="H18" i="18" s="1"/>
  <c r="I18" i="18" s="1"/>
  <c r="E19" i="18"/>
  <c r="E18" i="18"/>
  <c r="E17" i="18"/>
  <c r="H36" i="18" s="1"/>
  <c r="I36" i="18" s="1"/>
  <c r="E16" i="18"/>
  <c r="H16" i="18" s="1"/>
  <c r="I16" i="18" s="1"/>
  <c r="E15" i="18"/>
  <c r="H35" i="18" s="1"/>
  <c r="I35" i="18" s="1"/>
  <c r="E14" i="18"/>
  <c r="F13" i="18"/>
  <c r="E13" i="18"/>
  <c r="H15" i="18" s="1"/>
  <c r="I15" i="18" s="1"/>
  <c r="E12" i="18"/>
  <c r="E11" i="18"/>
  <c r="E10" i="18"/>
  <c r="E9" i="18"/>
  <c r="E8" i="18"/>
  <c r="E21" i="18" s="1"/>
  <c r="G15" i="32" s="1"/>
  <c r="E7" i="18"/>
  <c r="E23" i="18" s="1"/>
  <c r="I15" i="32" s="1"/>
  <c r="E6" i="18"/>
  <c r="E2" i="18"/>
  <c r="E36" i="19" l="1" a="1"/>
  <c r="E36" i="19" s="1"/>
  <c r="E37" i="19" a="1"/>
  <c r="E37" i="19" s="1"/>
  <c r="E37" i="18" a="1"/>
  <c r="E37" i="18" s="1"/>
  <c r="E36" i="18" a="1"/>
  <c r="E36" i="18" s="1"/>
  <c r="R15" i="32" s="1"/>
  <c r="E34" i="19" a="1"/>
  <c r="E34" i="19" s="1"/>
  <c r="E35" i="19" a="1"/>
  <c r="E35" i="19" s="1"/>
  <c r="E35" i="18" a="1"/>
  <c r="E35" i="18" s="1"/>
  <c r="E34" i="18" a="1"/>
  <c r="E34" i="18" s="1"/>
  <c r="E25" i="19"/>
  <c r="K16" i="32" s="1"/>
  <c r="K42" i="32" s="1"/>
  <c r="E25" i="18"/>
  <c r="K15" i="32" s="1"/>
  <c r="E24" i="18"/>
  <c r="J15" i="32" s="1"/>
  <c r="E22" i="18"/>
  <c r="H15" i="32" s="1"/>
  <c r="H41" i="32" s="1"/>
  <c r="E22" i="19"/>
  <c r="H16" i="32" s="1"/>
  <c r="H42" i="32" s="1"/>
  <c r="E29" i="19"/>
  <c r="H17" i="18"/>
  <c r="I17" i="18" s="1"/>
  <c r="E31" i="18" s="1" a="1"/>
  <c r="E31" i="18" s="1"/>
  <c r="R16" i="32"/>
  <c r="E28" i="19" a="1"/>
  <c r="E28" i="19" s="1"/>
  <c r="P16" i="32"/>
  <c r="L27" i="19"/>
  <c r="E26" i="19" s="1"/>
  <c r="H17" i="19"/>
  <c r="I17" i="19" s="1"/>
  <c r="E31" i="19" s="1" a="1"/>
  <c r="E31" i="19" s="1"/>
  <c r="E28" i="18" a="1"/>
  <c r="E28" i="18" s="1"/>
  <c r="M15" i="32" s="1"/>
  <c r="M41" i="32" s="1"/>
  <c r="L27" i="18"/>
  <c r="E26" i="18" s="1"/>
  <c r="E29" i="18"/>
  <c r="S15" i="32"/>
  <c r="Q15" i="32"/>
  <c r="P15" i="32"/>
  <c r="E30" i="19" l="1"/>
  <c r="E30" i="18"/>
  <c r="E32" i="18"/>
  <c r="N15" i="32"/>
  <c r="E32" i="19"/>
  <c r="N16" i="32"/>
  <c r="N42" i="32" s="1"/>
  <c r="M16" i="32"/>
  <c r="M42" i="32" s="1"/>
  <c r="E27" i="19"/>
  <c r="L16" i="32"/>
  <c r="L42" i="32" s="1"/>
  <c r="E27" i="18"/>
  <c r="E41" i="18" s="1"/>
  <c r="F15" i="32" s="1"/>
  <c r="F41" i="32" s="1"/>
  <c r="L15" i="32"/>
  <c r="E40" i="18" l="1"/>
  <c r="E15" i="32" s="1"/>
  <c r="E41" i="32" s="1"/>
  <c r="E39" i="18"/>
  <c r="D15" i="32" s="1"/>
  <c r="D41" i="32" s="1"/>
  <c r="E41" i="19"/>
  <c r="F16" i="32" s="1"/>
  <c r="F42" i="32" s="1"/>
  <c r="E42" i="18" l="1"/>
  <c r="H34" i="17"/>
  <c r="F33" i="17"/>
  <c r="E33" i="17" s="1"/>
  <c r="O14" i="32" s="1"/>
  <c r="E20" i="17"/>
  <c r="H18" i="17" s="1"/>
  <c r="I18" i="17" s="1"/>
  <c r="E19" i="17"/>
  <c r="E18" i="17"/>
  <c r="E17" i="17"/>
  <c r="H36" i="17" s="1"/>
  <c r="I36" i="17" s="1"/>
  <c r="E16" i="17"/>
  <c r="H16" i="17" s="1"/>
  <c r="I16" i="17" s="1"/>
  <c r="E15" i="17"/>
  <c r="H35" i="17" s="1"/>
  <c r="I35" i="17" s="1"/>
  <c r="E14" i="17"/>
  <c r="F13" i="17"/>
  <c r="E13" i="17"/>
  <c r="H15" i="17" s="1"/>
  <c r="I15" i="17" s="1"/>
  <c r="E12" i="17"/>
  <c r="E11" i="17"/>
  <c r="E10" i="17"/>
  <c r="E9" i="17"/>
  <c r="E8" i="17"/>
  <c r="E21" i="17" s="1"/>
  <c r="G14" i="32" s="1"/>
  <c r="E7" i="17"/>
  <c r="E23" i="17" s="1"/>
  <c r="I14" i="32" s="1"/>
  <c r="E6" i="17"/>
  <c r="E2" i="17"/>
  <c r="H34" i="16"/>
  <c r="F33" i="16"/>
  <c r="E33" i="16" s="1"/>
  <c r="O13" i="32" s="1"/>
  <c r="E20" i="16"/>
  <c r="H18" i="16" s="1"/>
  <c r="I18" i="16" s="1"/>
  <c r="E19" i="16"/>
  <c r="E18" i="16"/>
  <c r="E17" i="16"/>
  <c r="H36" i="16" s="1"/>
  <c r="I36" i="16" s="1"/>
  <c r="E16" i="16"/>
  <c r="H16" i="16" s="1"/>
  <c r="I16" i="16" s="1"/>
  <c r="E15" i="16"/>
  <c r="H35" i="16" s="1"/>
  <c r="I35" i="16" s="1"/>
  <c r="E14" i="16"/>
  <c r="F13" i="16"/>
  <c r="E13" i="16"/>
  <c r="H15" i="16" s="1"/>
  <c r="I15" i="16" s="1"/>
  <c r="E12" i="16"/>
  <c r="E11" i="16"/>
  <c r="E10" i="16"/>
  <c r="E9" i="16"/>
  <c r="E8" i="16"/>
  <c r="E21" i="16" s="1"/>
  <c r="G13" i="32" s="1"/>
  <c r="E7" i="16"/>
  <c r="E23" i="16" s="1"/>
  <c r="I13" i="32" s="1"/>
  <c r="E6" i="16"/>
  <c r="E2" i="16"/>
  <c r="H34" i="15"/>
  <c r="F33" i="15"/>
  <c r="E33" i="15" s="1"/>
  <c r="O12" i="32" s="1"/>
  <c r="E20" i="15"/>
  <c r="H18" i="15" s="1"/>
  <c r="I18" i="15" s="1"/>
  <c r="E19" i="15"/>
  <c r="E18" i="15"/>
  <c r="E17" i="15"/>
  <c r="H36" i="15" s="1"/>
  <c r="I36" i="15" s="1"/>
  <c r="E16" i="15"/>
  <c r="H16" i="15" s="1"/>
  <c r="I16" i="15" s="1"/>
  <c r="E15" i="15"/>
  <c r="H35" i="15" s="1"/>
  <c r="I35" i="15" s="1"/>
  <c r="E14" i="15"/>
  <c r="F13" i="15"/>
  <c r="E13" i="15"/>
  <c r="H15" i="15" s="1"/>
  <c r="I15" i="15" s="1"/>
  <c r="E12" i="15"/>
  <c r="E11" i="15"/>
  <c r="E10" i="15"/>
  <c r="E9" i="15"/>
  <c r="E8" i="15"/>
  <c r="E21" i="15" s="1"/>
  <c r="G12" i="32" s="1"/>
  <c r="G38" i="32" s="1"/>
  <c r="E7" i="15"/>
  <c r="E23" i="15" s="1"/>
  <c r="I12" i="32" s="1"/>
  <c r="E6" i="15"/>
  <c r="E2" i="15"/>
  <c r="E37" i="15" l="1" a="1"/>
  <c r="E37" i="15" s="1"/>
  <c r="E36" i="15" a="1"/>
  <c r="E36" i="15" s="1"/>
  <c r="R12" i="32" s="1"/>
  <c r="R38" i="32" s="1"/>
  <c r="E37" i="17" a="1"/>
  <c r="E37" i="17" s="1"/>
  <c r="E36" i="17" a="1"/>
  <c r="E36" i="17" s="1"/>
  <c r="E36" i="16" a="1"/>
  <c r="E36" i="16" s="1"/>
  <c r="E37" i="16" a="1"/>
  <c r="E37" i="16" s="1"/>
  <c r="E35" i="16" a="1"/>
  <c r="E35" i="16" s="1"/>
  <c r="E34" i="16" a="1"/>
  <c r="E34" i="16" s="1"/>
  <c r="E34" i="15" a="1"/>
  <c r="E34" i="15" s="1"/>
  <c r="P12" i="32" s="1"/>
  <c r="P38" i="32" s="1"/>
  <c r="E35" i="15" a="1"/>
  <c r="E35" i="15" s="1"/>
  <c r="E35" i="17" a="1"/>
  <c r="E35" i="17" s="1"/>
  <c r="E34" i="17" a="1"/>
  <c r="E34" i="17" s="1"/>
  <c r="E25" i="17"/>
  <c r="K14" i="32" s="1"/>
  <c r="E25" i="15"/>
  <c r="K12" i="32" s="1"/>
  <c r="K38" i="32" s="1"/>
  <c r="E25" i="16"/>
  <c r="K13" i="32" s="1"/>
  <c r="E24" i="15"/>
  <c r="J12" i="32" s="1"/>
  <c r="J38" i="32" s="1"/>
  <c r="E24" i="17"/>
  <c r="J14" i="32" s="1"/>
  <c r="E24" i="16"/>
  <c r="J13" i="32" s="1"/>
  <c r="E22" i="15"/>
  <c r="H12" i="32" s="1"/>
  <c r="H38" i="32" s="1"/>
  <c r="E22" i="16"/>
  <c r="H13" i="32" s="1"/>
  <c r="E22" i="17"/>
  <c r="H14" i="32" s="1"/>
  <c r="H17" i="17"/>
  <c r="I17" i="17" s="1"/>
  <c r="E31" i="17" s="1" a="1"/>
  <c r="E31" i="17" s="1"/>
  <c r="L27" i="15"/>
  <c r="E26" i="15" s="1"/>
  <c r="E29" i="17"/>
  <c r="L27" i="17"/>
  <c r="E26" i="17" s="1"/>
  <c r="R14" i="32"/>
  <c r="E28" i="17" a="1"/>
  <c r="E28" i="17" s="1"/>
  <c r="M14" i="32" s="1"/>
  <c r="M40" i="32" s="1"/>
  <c r="P14" i="32"/>
  <c r="E29" i="15"/>
  <c r="H17" i="16"/>
  <c r="I17" i="16" s="1"/>
  <c r="E31" i="16" s="1" a="1"/>
  <c r="E31" i="16" s="1"/>
  <c r="E29" i="16"/>
  <c r="H17" i="15"/>
  <c r="I17" i="15" s="1"/>
  <c r="E31" i="15" s="1" a="1"/>
  <c r="E31" i="15" s="1"/>
  <c r="L27" i="16"/>
  <c r="E26" i="16" s="1"/>
  <c r="E28" i="16" a="1"/>
  <c r="E28" i="16" s="1"/>
  <c r="M13" i="32" s="1"/>
  <c r="P13" i="32"/>
  <c r="R13" i="32"/>
  <c r="E28" i="15" a="1"/>
  <c r="E28" i="15" s="1"/>
  <c r="M12" i="32" s="1"/>
  <c r="M38" i="32" s="1"/>
  <c r="E30" i="17" l="1"/>
  <c r="E30" i="15"/>
  <c r="E30" i="16"/>
  <c r="E32" i="15"/>
  <c r="N12" i="32"/>
  <c r="N38" i="32" s="1"/>
  <c r="E32" i="17"/>
  <c r="N14" i="32"/>
  <c r="E32" i="16"/>
  <c r="N13" i="32"/>
  <c r="E27" i="17"/>
  <c r="E41" i="17" s="1"/>
  <c r="F14" i="32" s="1"/>
  <c r="L14" i="32"/>
  <c r="E27" i="16"/>
  <c r="E41" i="16" s="1"/>
  <c r="F13" i="32" s="1"/>
  <c r="L13" i="32"/>
  <c r="E27" i="15"/>
  <c r="E41" i="15" s="1"/>
  <c r="F12" i="32" s="1"/>
  <c r="F38" i="32" s="1"/>
  <c r="L12" i="32"/>
  <c r="L38" i="32" s="1"/>
  <c r="H34" i="14" l="1"/>
  <c r="F33" i="14"/>
  <c r="E33" i="14" s="1"/>
  <c r="O11" i="32" s="1"/>
  <c r="O37" i="32" s="1"/>
  <c r="E20" i="14"/>
  <c r="H18" i="14" s="1"/>
  <c r="I18" i="14" s="1"/>
  <c r="E19" i="14"/>
  <c r="E18" i="14"/>
  <c r="E17" i="14"/>
  <c r="H36" i="14" s="1"/>
  <c r="I36" i="14" s="1"/>
  <c r="E16" i="14"/>
  <c r="H16" i="14" s="1"/>
  <c r="I16" i="14" s="1"/>
  <c r="E15" i="14"/>
  <c r="H35" i="14" s="1"/>
  <c r="I35" i="14" s="1"/>
  <c r="E14" i="14"/>
  <c r="F13" i="14"/>
  <c r="E13" i="14"/>
  <c r="H15" i="14" s="1"/>
  <c r="I15" i="14" s="1"/>
  <c r="E12" i="14"/>
  <c r="E11" i="14"/>
  <c r="E10" i="14"/>
  <c r="E9" i="14"/>
  <c r="E8" i="14"/>
  <c r="E21" i="14" s="1"/>
  <c r="G11" i="32" s="1"/>
  <c r="G37" i="32" s="1"/>
  <c r="E7" i="14"/>
  <c r="E23" i="14" s="1"/>
  <c r="I11" i="32" s="1"/>
  <c r="I37" i="32" s="1"/>
  <c r="E6" i="14"/>
  <c r="E2" i="14"/>
  <c r="H34" i="13"/>
  <c r="F33" i="13"/>
  <c r="E33" i="13" s="1"/>
  <c r="O10" i="32" s="1"/>
  <c r="E20" i="13"/>
  <c r="H18" i="13" s="1"/>
  <c r="I18" i="13" s="1"/>
  <c r="E19" i="13"/>
  <c r="E18" i="13"/>
  <c r="E17" i="13"/>
  <c r="H36" i="13" s="1"/>
  <c r="I36" i="13" s="1"/>
  <c r="E16" i="13"/>
  <c r="H16" i="13" s="1"/>
  <c r="I16" i="13" s="1"/>
  <c r="E15" i="13"/>
  <c r="H35" i="13" s="1"/>
  <c r="I35" i="13" s="1"/>
  <c r="E14" i="13"/>
  <c r="F13" i="13"/>
  <c r="E13" i="13"/>
  <c r="H15" i="13" s="1"/>
  <c r="I15" i="13" s="1"/>
  <c r="E12" i="13"/>
  <c r="E11" i="13"/>
  <c r="E10" i="13"/>
  <c r="E9" i="13"/>
  <c r="E8" i="13"/>
  <c r="E7" i="13"/>
  <c r="E23" i="13" s="1"/>
  <c r="I10" i="32" s="1"/>
  <c r="E6" i="13"/>
  <c r="E2" i="13"/>
  <c r="H34" i="12"/>
  <c r="F33" i="12"/>
  <c r="E33" i="12" s="1"/>
  <c r="O9" i="32" s="1"/>
  <c r="O35" i="32" s="1"/>
  <c r="E20" i="12"/>
  <c r="H18" i="12" s="1"/>
  <c r="I18" i="12" s="1"/>
  <c r="E19" i="12"/>
  <c r="E18" i="12"/>
  <c r="E17" i="12"/>
  <c r="H36" i="12" s="1"/>
  <c r="I36" i="12" s="1"/>
  <c r="E16" i="12"/>
  <c r="H16" i="12" s="1"/>
  <c r="I16" i="12" s="1"/>
  <c r="E15" i="12"/>
  <c r="H35" i="12" s="1"/>
  <c r="I35" i="12" s="1"/>
  <c r="E14" i="12"/>
  <c r="F13" i="12"/>
  <c r="E13" i="12"/>
  <c r="H15" i="12" s="1"/>
  <c r="I15" i="12" s="1"/>
  <c r="E12" i="12"/>
  <c r="E11" i="12"/>
  <c r="E10" i="12"/>
  <c r="E9" i="12"/>
  <c r="E8" i="12"/>
  <c r="E21" i="12" s="1"/>
  <c r="G9" i="32" s="1"/>
  <c r="E7" i="12"/>
  <c r="E23" i="12" s="1"/>
  <c r="I9" i="32" s="1"/>
  <c r="E6" i="12"/>
  <c r="E2" i="12"/>
  <c r="E24" i="12" s="1"/>
  <c r="J9" i="32" s="1"/>
  <c r="J35" i="32" s="1"/>
  <c r="H34" i="11"/>
  <c r="F33" i="11"/>
  <c r="E33" i="11" s="1"/>
  <c r="O8" i="32" s="1"/>
  <c r="E20" i="11"/>
  <c r="H18" i="11" s="1"/>
  <c r="I18" i="11" s="1"/>
  <c r="E19" i="11"/>
  <c r="E18" i="11"/>
  <c r="E17" i="11"/>
  <c r="H36" i="11" s="1"/>
  <c r="I36" i="11" s="1"/>
  <c r="E16" i="11"/>
  <c r="H16" i="11" s="1"/>
  <c r="I16" i="11" s="1"/>
  <c r="E15" i="11"/>
  <c r="H35" i="11" s="1"/>
  <c r="I35" i="11" s="1"/>
  <c r="E14" i="11"/>
  <c r="F13" i="11"/>
  <c r="E13" i="11"/>
  <c r="H15" i="11" s="1"/>
  <c r="I15" i="11" s="1"/>
  <c r="E12" i="11"/>
  <c r="E11" i="11"/>
  <c r="E10" i="11"/>
  <c r="E9" i="11"/>
  <c r="E8" i="11"/>
  <c r="E21" i="11" s="1"/>
  <c r="G8" i="32" s="1"/>
  <c r="E7" i="11"/>
  <c r="E23" i="11" s="1"/>
  <c r="I8" i="32" s="1"/>
  <c r="E6" i="11"/>
  <c r="E2" i="11"/>
  <c r="E24" i="11" s="1"/>
  <c r="J8" i="32" s="1"/>
  <c r="E36" i="12" l="1" a="1"/>
  <c r="E36" i="12" s="1"/>
  <c r="E37" i="12" a="1"/>
  <c r="E37" i="12" s="1"/>
  <c r="E37" i="11" a="1"/>
  <c r="E37" i="11" s="1"/>
  <c r="E36" i="11" a="1"/>
  <c r="E36" i="11" s="1"/>
  <c r="R8" i="32" s="1"/>
  <c r="E37" i="14" a="1"/>
  <c r="E37" i="14" s="1"/>
  <c r="E36" i="14" a="1"/>
  <c r="E36" i="14" s="1"/>
  <c r="E36" i="13" a="1"/>
  <c r="E36" i="13" s="1"/>
  <c r="E37" i="13" a="1"/>
  <c r="E37" i="13" s="1"/>
  <c r="E34" i="14" a="1"/>
  <c r="E34" i="14" s="1"/>
  <c r="E35" i="14" a="1"/>
  <c r="E35" i="14" s="1"/>
  <c r="E35" i="13" a="1"/>
  <c r="E35" i="13" s="1"/>
  <c r="E34" i="13" a="1"/>
  <c r="E34" i="13" s="1"/>
  <c r="E34" i="12" a="1"/>
  <c r="E34" i="12" s="1"/>
  <c r="E35" i="12" a="1"/>
  <c r="E35" i="12" s="1"/>
  <c r="E35" i="11" a="1"/>
  <c r="E35" i="11" s="1"/>
  <c r="E34" i="11" a="1"/>
  <c r="E34" i="11" s="1"/>
  <c r="E21" i="13"/>
  <c r="G10" i="32" s="1"/>
  <c r="E25" i="14"/>
  <c r="K11" i="32" s="1"/>
  <c r="K37" i="32" s="1"/>
  <c r="E25" i="11"/>
  <c r="K8" i="32" s="1"/>
  <c r="E25" i="13"/>
  <c r="K10" i="32" s="1"/>
  <c r="E25" i="12"/>
  <c r="K9" i="32" s="1"/>
  <c r="E24" i="14"/>
  <c r="J11" i="32" s="1"/>
  <c r="J37" i="32" s="1"/>
  <c r="E24" i="13"/>
  <c r="J10" i="32" s="1"/>
  <c r="E22" i="11"/>
  <c r="H8" i="32" s="1"/>
  <c r="E22" i="13"/>
  <c r="H10" i="32" s="1"/>
  <c r="E22" i="12"/>
  <c r="H9" i="32" s="1"/>
  <c r="E22" i="14"/>
  <c r="H17" i="12"/>
  <c r="I17" i="12" s="1"/>
  <c r="E31" i="12" s="1" a="1"/>
  <c r="E31" i="12" s="1"/>
  <c r="L27" i="13"/>
  <c r="E26" i="13" s="1"/>
  <c r="L27" i="14"/>
  <c r="E26" i="14" s="1"/>
  <c r="L11" i="32" s="1"/>
  <c r="L37" i="32" s="1"/>
  <c r="H17" i="13"/>
  <c r="I17" i="13" s="1"/>
  <c r="E31" i="13" s="1" a="1"/>
  <c r="E31" i="13" s="1"/>
  <c r="L27" i="11"/>
  <c r="E26" i="11" s="1"/>
  <c r="H17" i="14"/>
  <c r="I17" i="14" s="1"/>
  <c r="E31" i="14" s="1" a="1"/>
  <c r="E31" i="14" s="1"/>
  <c r="H17" i="11"/>
  <c r="I17" i="11" s="1"/>
  <c r="E31" i="11" s="1" a="1"/>
  <c r="E31" i="11" s="1"/>
  <c r="E29" i="13"/>
  <c r="E29" i="14"/>
  <c r="E28" i="13" a="1"/>
  <c r="E28" i="13" s="1"/>
  <c r="M10" i="32" s="1"/>
  <c r="E28" i="14" a="1"/>
  <c r="E28" i="14" s="1"/>
  <c r="M11" i="32" s="1"/>
  <c r="M37" i="32" s="1"/>
  <c r="R11" i="32"/>
  <c r="R37" i="32" s="1"/>
  <c r="P11" i="32"/>
  <c r="P37" i="32" s="1"/>
  <c r="P10" i="32"/>
  <c r="R10" i="32"/>
  <c r="E29" i="12"/>
  <c r="E29" i="11"/>
  <c r="E28" i="11" a="1"/>
  <c r="E28" i="11" s="1"/>
  <c r="M8" i="32" s="1"/>
  <c r="M34" i="32" s="1"/>
  <c r="L27" i="12"/>
  <c r="E26" i="12" s="1"/>
  <c r="S9" i="32"/>
  <c r="R9" i="32"/>
  <c r="E28" i="12" a="1"/>
  <c r="E28" i="12" s="1"/>
  <c r="M9" i="32" s="1"/>
  <c r="Q9" i="32"/>
  <c r="P9" i="32"/>
  <c r="P8" i="32"/>
  <c r="H34" i="10"/>
  <c r="F33" i="10"/>
  <c r="E33" i="10" s="1"/>
  <c r="O7" i="32" s="1"/>
  <c r="E20" i="10"/>
  <c r="H18" i="10" s="1"/>
  <c r="I18" i="10" s="1"/>
  <c r="E19" i="10"/>
  <c r="E18" i="10"/>
  <c r="E17" i="10"/>
  <c r="H36" i="10" s="1"/>
  <c r="I36" i="10" s="1"/>
  <c r="E16" i="10"/>
  <c r="H16" i="10" s="1"/>
  <c r="I16" i="10" s="1"/>
  <c r="E15" i="10"/>
  <c r="H35" i="10" s="1"/>
  <c r="I35" i="10" s="1"/>
  <c r="E14" i="10"/>
  <c r="F13" i="10"/>
  <c r="E13" i="10"/>
  <c r="H15" i="10" s="1"/>
  <c r="I15" i="10" s="1"/>
  <c r="E12" i="10"/>
  <c r="E11" i="10"/>
  <c r="E10" i="10"/>
  <c r="E9" i="10"/>
  <c r="E8" i="10"/>
  <c r="E21" i="10" s="1"/>
  <c r="G7" i="32" s="1"/>
  <c r="E7" i="10"/>
  <c r="E23" i="10" s="1"/>
  <c r="I7" i="32" s="1"/>
  <c r="E6" i="10"/>
  <c r="E2" i="10"/>
  <c r="E24" i="10" s="1"/>
  <c r="J7" i="32" s="1"/>
  <c r="E37" i="10" l="1" a="1"/>
  <c r="E37" i="10" s="1"/>
  <c r="E36" i="10" a="1"/>
  <c r="E36" i="10" s="1"/>
  <c r="R7" i="32" s="1"/>
  <c r="E34" i="10" a="1"/>
  <c r="E34" i="10" s="1"/>
  <c r="E35" i="10" a="1"/>
  <c r="E35" i="10" s="1"/>
  <c r="E25" i="10"/>
  <c r="K7" i="32" s="1"/>
  <c r="E30" i="11"/>
  <c r="E30" i="12"/>
  <c r="E30" i="13"/>
  <c r="E30" i="14"/>
  <c r="E27" i="14"/>
  <c r="H11" i="32"/>
  <c r="H37" i="32" s="1"/>
  <c r="E22" i="10"/>
  <c r="H7" i="32" s="1"/>
  <c r="H33" i="32" s="1"/>
  <c r="E32" i="13"/>
  <c r="N10" i="32"/>
  <c r="E32" i="11"/>
  <c r="N8" i="32"/>
  <c r="N34" i="32" s="1"/>
  <c r="E32" i="14"/>
  <c r="N11" i="32"/>
  <c r="N37" i="32" s="1"/>
  <c r="E32" i="12"/>
  <c r="N9" i="32"/>
  <c r="E27" i="12"/>
  <c r="E41" i="12" s="1"/>
  <c r="F9" i="32" s="1"/>
  <c r="F35" i="32" s="1"/>
  <c r="L9" i="32"/>
  <c r="E27" i="13"/>
  <c r="E41" i="13" s="1"/>
  <c r="F10" i="32" s="1"/>
  <c r="L10" i="32"/>
  <c r="E27" i="11"/>
  <c r="L8" i="32"/>
  <c r="L34" i="32" s="1"/>
  <c r="L27" i="10"/>
  <c r="E26" i="10" s="1"/>
  <c r="H17" i="10"/>
  <c r="I17" i="10" s="1"/>
  <c r="E31" i="10" s="1" a="1"/>
  <c r="E31" i="10" s="1"/>
  <c r="E29" i="10"/>
  <c r="E28" i="10" a="1"/>
  <c r="E28" i="10" s="1"/>
  <c r="M7" i="32" s="1"/>
  <c r="P7" i="32"/>
  <c r="E30" i="10" l="1"/>
  <c r="E41" i="14"/>
  <c r="F11" i="32" s="1"/>
  <c r="F37" i="32" s="1"/>
  <c r="E41" i="11"/>
  <c r="F8" i="32" s="1"/>
  <c r="F34" i="32" s="1"/>
  <c r="E39" i="12"/>
  <c r="D9" i="32" s="1"/>
  <c r="D35" i="32" s="1"/>
  <c r="E40" i="12"/>
  <c r="E9" i="32" s="1"/>
  <c r="E35" i="32" s="1"/>
  <c r="E32" i="10"/>
  <c r="N7" i="32"/>
  <c r="E27" i="10"/>
  <c r="E41" i="10" s="1"/>
  <c r="F7" i="32" s="1"/>
  <c r="F33" i="32" s="1"/>
  <c r="L7" i="32"/>
  <c r="E42" i="12" l="1"/>
  <c r="H34" i="9" l="1"/>
  <c r="F33" i="9"/>
  <c r="E33" i="9" s="1"/>
  <c r="O6" i="32" s="1"/>
  <c r="E20" i="9"/>
  <c r="H18" i="9" s="1"/>
  <c r="I18" i="9" s="1"/>
  <c r="E19" i="9"/>
  <c r="E18" i="9"/>
  <c r="E17" i="9"/>
  <c r="H36" i="9" s="1"/>
  <c r="I36" i="9" s="1"/>
  <c r="E16" i="9"/>
  <c r="H16" i="9" s="1"/>
  <c r="I16" i="9" s="1"/>
  <c r="E15" i="9"/>
  <c r="H35" i="9" s="1"/>
  <c r="I35" i="9" s="1"/>
  <c r="E14" i="9"/>
  <c r="F13" i="9"/>
  <c r="E13" i="9"/>
  <c r="H15" i="9" s="1"/>
  <c r="I15" i="9" s="1"/>
  <c r="E12" i="9"/>
  <c r="E11" i="9"/>
  <c r="E10" i="9"/>
  <c r="E9" i="9"/>
  <c r="E8" i="9"/>
  <c r="E21" i="9" s="1"/>
  <c r="G6" i="32" s="1"/>
  <c r="G32" i="32" s="1"/>
  <c r="E7" i="9"/>
  <c r="E23" i="9" s="1"/>
  <c r="I6" i="32" s="1"/>
  <c r="E6" i="9"/>
  <c r="E2" i="9"/>
  <c r="E24" i="9" s="1"/>
  <c r="J6" i="32" s="1"/>
  <c r="E36" i="9" l="1" a="1"/>
  <c r="E36" i="9" s="1"/>
  <c r="E37" i="9" a="1"/>
  <c r="E37" i="9" s="1"/>
  <c r="E34" i="9" a="1"/>
  <c r="E34" i="9" s="1"/>
  <c r="E35" i="9" a="1"/>
  <c r="E35" i="9" s="1"/>
  <c r="Q6" i="32" s="1"/>
  <c r="Q32" i="32" s="1"/>
  <c r="E25" i="9"/>
  <c r="K6" i="32" s="1"/>
  <c r="E22" i="9"/>
  <c r="H6" i="32" s="1"/>
  <c r="H32" i="32" s="1"/>
  <c r="L27" i="9"/>
  <c r="E26" i="9" s="1"/>
  <c r="E28" i="9" a="1"/>
  <c r="E28" i="9" s="1"/>
  <c r="M6" i="32" s="1"/>
  <c r="M32" i="32" s="1"/>
  <c r="H17" i="9"/>
  <c r="I17" i="9" s="1"/>
  <c r="E31" i="9" s="1" a="1"/>
  <c r="E31" i="9" s="1"/>
  <c r="E29" i="9"/>
  <c r="P6" i="32"/>
  <c r="P32" i="32" s="1"/>
  <c r="R6" i="32"/>
  <c r="R32" i="32" s="1"/>
  <c r="H34" i="8"/>
  <c r="F33" i="8"/>
  <c r="E33" i="8" s="1"/>
  <c r="O5" i="32" s="1"/>
  <c r="O31" i="32" s="1"/>
  <c r="E20" i="8"/>
  <c r="H18" i="8" s="1"/>
  <c r="I18" i="8" s="1"/>
  <c r="E19" i="8"/>
  <c r="E18" i="8"/>
  <c r="E17" i="8"/>
  <c r="H36" i="8" s="1"/>
  <c r="I36" i="8" s="1"/>
  <c r="E16" i="8"/>
  <c r="H16" i="8" s="1"/>
  <c r="I16" i="8" s="1"/>
  <c r="E15" i="8"/>
  <c r="H35" i="8" s="1"/>
  <c r="I35" i="8" s="1"/>
  <c r="E14" i="8"/>
  <c r="F13" i="8"/>
  <c r="E13" i="8"/>
  <c r="H15" i="8" s="1"/>
  <c r="I15" i="8" s="1"/>
  <c r="E12" i="8"/>
  <c r="E11" i="8"/>
  <c r="E10" i="8"/>
  <c r="E9" i="8"/>
  <c r="E8" i="8"/>
  <c r="E21" i="8" s="1"/>
  <c r="G5" i="32" s="1"/>
  <c r="G31" i="32" s="1"/>
  <c r="E7" i="8"/>
  <c r="E23" i="8" s="1"/>
  <c r="I5" i="32" s="1"/>
  <c r="I31" i="32" s="1"/>
  <c r="E6" i="8"/>
  <c r="E2" i="8"/>
  <c r="E24" i="8" s="1"/>
  <c r="J5" i="32" s="1"/>
  <c r="J31" i="32" s="1"/>
  <c r="H34" i="6"/>
  <c r="F33" i="6"/>
  <c r="E33" i="6" s="1"/>
  <c r="O4" i="32" s="1"/>
  <c r="O30" i="32" s="1"/>
  <c r="E20" i="6"/>
  <c r="H18" i="6" s="1"/>
  <c r="I18" i="6" s="1"/>
  <c r="E19" i="6"/>
  <c r="E18" i="6"/>
  <c r="E17" i="6"/>
  <c r="H36" i="6" s="1"/>
  <c r="I36" i="6" s="1"/>
  <c r="E16" i="6"/>
  <c r="H16" i="6" s="1"/>
  <c r="I16" i="6" s="1"/>
  <c r="E15" i="6"/>
  <c r="H35" i="6" s="1"/>
  <c r="I35" i="6" s="1"/>
  <c r="E14" i="6"/>
  <c r="F13" i="6"/>
  <c r="E13" i="6"/>
  <c r="H15" i="6" s="1"/>
  <c r="I15" i="6" s="1"/>
  <c r="E12" i="6"/>
  <c r="E11" i="6"/>
  <c r="E10" i="6"/>
  <c r="E9" i="6"/>
  <c r="E8" i="6"/>
  <c r="E21" i="6" s="1"/>
  <c r="G4" i="32" s="1"/>
  <c r="G30" i="32" s="1"/>
  <c r="E7" i="6"/>
  <c r="E23" i="6" s="1"/>
  <c r="I4" i="32" s="1"/>
  <c r="I30" i="32" s="1"/>
  <c r="E6" i="6"/>
  <c r="E2" i="6"/>
  <c r="E24" i="6" s="1"/>
  <c r="J4" i="32" s="1"/>
  <c r="J30" i="32" s="1"/>
  <c r="F33" i="2"/>
  <c r="E20" i="2"/>
  <c r="E19" i="2"/>
  <c r="E18" i="2"/>
  <c r="E17" i="2"/>
  <c r="E16" i="2"/>
  <c r="E15" i="2"/>
  <c r="F13" i="2"/>
  <c r="E14" i="2"/>
  <c r="E13" i="2"/>
  <c r="E12" i="2"/>
  <c r="E11" i="2"/>
  <c r="E10" i="2"/>
  <c r="E9" i="2"/>
  <c r="E8" i="2"/>
  <c r="E7" i="2"/>
  <c r="E6" i="2"/>
  <c r="E5" i="2"/>
  <c r="E4" i="2"/>
  <c r="E3" i="2"/>
  <c r="E2" i="2"/>
  <c r="E36" i="8" l="1" a="1"/>
  <c r="E36" i="8" s="1"/>
  <c r="E37" i="8" a="1"/>
  <c r="E37" i="8" s="1"/>
  <c r="E37" i="6" a="1"/>
  <c r="E37" i="6" s="1"/>
  <c r="S4" i="32" s="1"/>
  <c r="S30" i="32" s="1"/>
  <c r="E36" i="6" a="1"/>
  <c r="E36" i="6" s="1"/>
  <c r="R4" i="32" s="1"/>
  <c r="R30" i="32" s="1"/>
  <c r="E35" i="8" a="1"/>
  <c r="E35" i="8" s="1"/>
  <c r="E34" i="8" a="1"/>
  <c r="E34" i="8" s="1"/>
  <c r="E34" i="6" a="1"/>
  <c r="E34" i="6" s="1"/>
  <c r="E35" i="6" a="1"/>
  <c r="E35" i="6" s="1"/>
  <c r="E33" i="2"/>
  <c r="E23" i="2"/>
  <c r="E24" i="2"/>
  <c r="S6" i="32"/>
  <c r="S32" i="32" s="1"/>
  <c r="E25" i="6"/>
  <c r="K4" i="32" s="1"/>
  <c r="K30" i="32" s="1"/>
  <c r="E25" i="8"/>
  <c r="K5" i="32" s="1"/>
  <c r="K31" i="32" s="1"/>
  <c r="E21" i="2"/>
  <c r="E30" i="9"/>
  <c r="E22" i="6"/>
  <c r="H4" i="32" s="1"/>
  <c r="H30" i="32" s="1"/>
  <c r="E22" i="8"/>
  <c r="H5" i="32" s="1"/>
  <c r="H31" i="32" s="1"/>
  <c r="E32" i="9"/>
  <c r="N6" i="32"/>
  <c r="E27" i="9"/>
  <c r="E41" i="9" s="1"/>
  <c r="F6" i="32" s="1"/>
  <c r="F32" i="32" s="1"/>
  <c r="L6" i="32"/>
  <c r="E29" i="2"/>
  <c r="E29" i="6"/>
  <c r="E28" i="6" a="1"/>
  <c r="E28" i="6" s="1"/>
  <c r="M4" i="32" s="1"/>
  <c r="M30" i="32" s="1"/>
  <c r="P4" i="32"/>
  <c r="P30" i="32" s="1"/>
  <c r="Q4" i="32"/>
  <c r="Q30" i="32" s="1"/>
  <c r="H17" i="6"/>
  <c r="I17" i="6" s="1"/>
  <c r="E31" i="6" s="1" a="1"/>
  <c r="E31" i="6" s="1"/>
  <c r="L27" i="8"/>
  <c r="E26" i="8" s="1"/>
  <c r="E29" i="8"/>
  <c r="H17" i="8"/>
  <c r="I17" i="8" s="1"/>
  <c r="E31" i="8" s="1" a="1"/>
  <c r="E31" i="8" s="1"/>
  <c r="L27" i="6"/>
  <c r="E26" i="6" s="1"/>
  <c r="S5" i="32"/>
  <c r="S31" i="32" s="1"/>
  <c r="R5" i="32"/>
  <c r="R31" i="32" s="1"/>
  <c r="E28" i="8" a="1"/>
  <c r="E28" i="8" s="1"/>
  <c r="M5" i="32" s="1"/>
  <c r="M31" i="32" s="1"/>
  <c r="Q5" i="32"/>
  <c r="Q31" i="32" s="1"/>
  <c r="P5" i="32"/>
  <c r="P31" i="32" s="1"/>
  <c r="E25" i="2" l="1"/>
  <c r="E34" i="2"/>
  <c r="Q14" i="32"/>
  <c r="E39" i="17"/>
  <c r="S22" i="32"/>
  <c r="E40" i="25"/>
  <c r="E22" i="32" s="1"/>
  <c r="E48" i="32" s="1"/>
  <c r="Q10" i="32"/>
  <c r="E39" i="13"/>
  <c r="S17" i="32"/>
  <c r="E40" i="20"/>
  <c r="E17" i="32" s="1"/>
  <c r="E43" i="32" s="1"/>
  <c r="Q20" i="32"/>
  <c r="Q46" i="32" s="1"/>
  <c r="E39" i="23"/>
  <c r="S20" i="32"/>
  <c r="S46" i="32" s="1"/>
  <c r="E40" i="23"/>
  <c r="E20" i="32" s="1"/>
  <c r="E46" i="32" s="1"/>
  <c r="Q17" i="32"/>
  <c r="E39" i="20"/>
  <c r="S24" i="32"/>
  <c r="E40" i="28"/>
  <c r="E24" i="32" s="1"/>
  <c r="Q7" i="32"/>
  <c r="E39" i="10"/>
  <c r="Q12" i="32"/>
  <c r="Q38" i="32" s="1"/>
  <c r="E39" i="15"/>
  <c r="S13" i="32"/>
  <c r="E40" i="16"/>
  <c r="E13" i="32" s="1"/>
  <c r="S14" i="32"/>
  <c r="E40" i="17"/>
  <c r="E14" i="32" s="1"/>
  <c r="S18" i="32"/>
  <c r="E40" i="21"/>
  <c r="E18" i="32" s="1"/>
  <c r="S7" i="32"/>
  <c r="E40" i="10"/>
  <c r="E7" i="32" s="1"/>
  <c r="E33" i="32" s="1"/>
  <c r="S23" i="32"/>
  <c r="E40" i="26"/>
  <c r="E23" i="32" s="1"/>
  <c r="Q26" i="32"/>
  <c r="Q52" i="32" s="1"/>
  <c r="E39" i="30"/>
  <c r="S26" i="32"/>
  <c r="S52" i="32" s="1"/>
  <c r="E40" i="30"/>
  <c r="E26" i="32" s="1"/>
  <c r="E52" i="32" s="1"/>
  <c r="Q23" i="32"/>
  <c r="E39" i="26"/>
  <c r="S10" i="32"/>
  <c r="E40" i="13"/>
  <c r="E10" i="32" s="1"/>
  <c r="Q13" i="32"/>
  <c r="E39" i="16"/>
  <c r="Q18" i="32"/>
  <c r="E39" i="21"/>
  <c r="S19" i="32"/>
  <c r="E40" i="22"/>
  <c r="E19" i="32" s="1"/>
  <c r="S11" i="32"/>
  <c r="S37" i="32" s="1"/>
  <c r="E40" i="14"/>
  <c r="E11" i="32" s="1"/>
  <c r="E37" i="32" s="1"/>
  <c r="Q11" i="32"/>
  <c r="Q37" i="32" s="1"/>
  <c r="E39" i="14"/>
  <c r="Q25" i="32"/>
  <c r="E39" i="29"/>
  <c r="Q16" i="32"/>
  <c r="E39" i="19"/>
  <c r="Q22" i="32"/>
  <c r="E39" i="25"/>
  <c r="Q8" i="32"/>
  <c r="E39" i="11"/>
  <c r="S8" i="32"/>
  <c r="E40" i="11"/>
  <c r="E8" i="32" s="1"/>
  <c r="E34" i="32" s="1"/>
  <c r="S12" i="32"/>
  <c r="S38" i="32" s="1"/>
  <c r="E40" i="15"/>
  <c r="E12" i="32" s="1"/>
  <c r="E38" i="32" s="1"/>
  <c r="S16" i="32"/>
  <c r="E40" i="19"/>
  <c r="E16" i="32" s="1"/>
  <c r="E42" i="32" s="1"/>
  <c r="Q19" i="32"/>
  <c r="E39" i="22"/>
  <c r="Q24" i="32"/>
  <c r="E39" i="28"/>
  <c r="S25" i="32"/>
  <c r="E40" i="29"/>
  <c r="E25" i="32" s="1"/>
  <c r="E28" i="2"/>
  <c r="E30" i="2" s="1"/>
  <c r="E36" i="2"/>
  <c r="E22" i="2"/>
  <c r="E30" i="8"/>
  <c r="E30" i="6"/>
  <c r="E39" i="9"/>
  <c r="D6" i="32" s="1"/>
  <c r="D32" i="32" s="1"/>
  <c r="E40" i="9"/>
  <c r="E6" i="32" s="1"/>
  <c r="E32" i="32" s="1"/>
  <c r="E32" i="6"/>
  <c r="N4" i="32"/>
  <c r="N30" i="32" s="1"/>
  <c r="E32" i="8"/>
  <c r="N5" i="32"/>
  <c r="N31" i="32" s="1"/>
  <c r="E27" i="6"/>
  <c r="E41" i="6" s="1"/>
  <c r="F4" i="32" s="1"/>
  <c r="F30" i="32" s="1"/>
  <c r="L4" i="32"/>
  <c r="L30" i="32" s="1"/>
  <c r="E27" i="8"/>
  <c r="E41" i="8" s="1"/>
  <c r="F5" i="32" s="1"/>
  <c r="F31" i="32" s="1"/>
  <c r="L5" i="32"/>
  <c r="L31" i="32" s="1"/>
  <c r="E35" i="2" l="1"/>
  <c r="E37" i="2"/>
  <c r="E26" i="2"/>
  <c r="E27" i="2" s="1"/>
  <c r="E31" i="2"/>
  <c r="E32" i="2" s="1"/>
  <c r="D24" i="32"/>
  <c r="E42" i="28"/>
  <c r="D18" i="32"/>
  <c r="E42" i="21"/>
  <c r="D7" i="32"/>
  <c r="D33" i="32" s="1"/>
  <c r="E42" i="10"/>
  <c r="D17" i="32"/>
  <c r="D43" i="32" s="1"/>
  <c r="E42" i="20"/>
  <c r="D20" i="32"/>
  <c r="D46" i="32" s="1"/>
  <c r="E42" i="23"/>
  <c r="D10" i="32"/>
  <c r="E42" i="13"/>
  <c r="D22" i="32"/>
  <c r="D48" i="32" s="1"/>
  <c r="E42" i="25"/>
  <c r="D25" i="32"/>
  <c r="E42" i="29"/>
  <c r="D14" i="32"/>
  <c r="D40" i="32" s="1"/>
  <c r="E42" i="17"/>
  <c r="D19" i="32"/>
  <c r="E42" i="22"/>
  <c r="D8" i="32"/>
  <c r="D34" i="32" s="1"/>
  <c r="E42" i="11"/>
  <c r="D16" i="32"/>
  <c r="D42" i="32" s="1"/>
  <c r="E42" i="19"/>
  <c r="D11" i="32"/>
  <c r="D37" i="32" s="1"/>
  <c r="E42" i="14"/>
  <c r="D13" i="32"/>
  <c r="E42" i="16"/>
  <c r="D23" i="32"/>
  <c r="E42" i="26"/>
  <c r="D26" i="32"/>
  <c r="D52" i="32" s="1"/>
  <c r="E42" i="30"/>
  <c r="D12" i="32"/>
  <c r="D38" i="32" s="1"/>
  <c r="E42" i="15"/>
  <c r="C31" i="1"/>
  <c r="E42" i="9"/>
  <c r="E39" i="6"/>
  <c r="D4" i="32" s="1"/>
  <c r="D30" i="32" s="1"/>
  <c r="E40" i="6"/>
  <c r="E4" i="32" s="1"/>
  <c r="E30" i="32" s="1"/>
  <c r="E39" i="8"/>
  <c r="D5" i="32" s="1"/>
  <c r="D31" i="32" s="1"/>
  <c r="E40" i="8"/>
  <c r="E5" i="32" s="1"/>
  <c r="E31" i="32" s="1"/>
  <c r="E41" i="2" l="1"/>
  <c r="C29" i="1"/>
  <c r="C30" i="1"/>
  <c r="E42" i="6"/>
  <c r="E42" i="8"/>
  <c r="E40" i="2" l="1"/>
  <c r="E39" i="2"/>
  <c r="C32" i="1"/>
  <c r="E42" i="2" l="1"/>
  <c r="C4"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<sst xmlns="http://schemas.openxmlformats.org/spreadsheetml/2006/main" count="5185" uniqueCount="556">
  <si>
    <t>Flat</t>
  </si>
  <si>
    <t>Urban</t>
  </si>
  <si>
    <t>What is the operating speed of the section of road?</t>
  </si>
  <si>
    <t>60 km/h</t>
  </si>
  <si>
    <t>Is the section of road divided or undivided?</t>
  </si>
  <si>
    <t>Divided</t>
  </si>
  <si>
    <t>What is the number of lanes in the direction of travel?</t>
  </si>
  <si>
    <t>What is the width of the travel lanes?</t>
  </si>
  <si>
    <t>What is the AADT for this section of road?</t>
  </si>
  <si>
    <t>What is the length (in metres) of the section or road being considered?</t>
  </si>
  <si>
    <t>Chainage (if known) where roadside is assessed</t>
  </si>
  <si>
    <t>N/A</t>
  </si>
  <si>
    <t>Side of travelled way (verge/left or median/right)</t>
  </si>
  <si>
    <t>Verge</t>
  </si>
  <si>
    <t>Grade (%) (upgrade positive)</t>
  </si>
  <si>
    <t>Curve radius (m) Use 2000 m if straight)</t>
  </si>
  <si>
    <t>900m R</t>
  </si>
  <si>
    <t>Curve direction (left/right in the direction of travel)</t>
  </si>
  <si>
    <t>Left</t>
  </si>
  <si>
    <t>Inside</t>
  </si>
  <si>
    <t>Information about the Background Hazards</t>
  </si>
  <si>
    <t>Description of Background Hazard</t>
  </si>
  <si>
    <t>Tree lined edge</t>
  </si>
  <si>
    <t xml:space="preserve">Lateral distance to the background hazards from the edge of lane (m) </t>
  </si>
  <si>
    <t>2.0m</t>
  </si>
  <si>
    <t>Information about the Isolated Hazards</t>
  </si>
  <si>
    <t>Description of Isolated Hazard</t>
  </si>
  <si>
    <t>Utility pole</t>
  </si>
  <si>
    <t>Length of Isolated hazard (m)</t>
  </si>
  <si>
    <t xml:space="preserve">Average distance between hazards (m) </t>
  </si>
  <si>
    <t xml:space="preserve">Lateral distance to the isolated hazards from the edge of lane (m) </t>
  </si>
  <si>
    <t>2.5m</t>
  </si>
  <si>
    <t>Information for calculating the risk of a rollover</t>
  </si>
  <si>
    <t>What is the width (m) of flat area (&lt;1:6) adjacent to the road (measured from the edge of the travel lane)?</t>
  </si>
  <si>
    <t>Calculation or Risk Scores</t>
  </si>
  <si>
    <t>Risk Score for Isolated Hazards</t>
  </si>
  <si>
    <t>Risk Score for Background Hazards</t>
  </si>
  <si>
    <t>Risk Score for Rollover Events</t>
  </si>
  <si>
    <t>TOTAL RISK SCORE</t>
  </si>
  <si>
    <t xml:space="preserve">Group </t>
  </si>
  <si>
    <t>Measure</t>
  </si>
  <si>
    <t>Item</t>
  </si>
  <si>
    <t>Reference</t>
  </si>
  <si>
    <t>General road characteristics</t>
  </si>
  <si>
    <t>Terrain (flat, rolling, mountainous)</t>
  </si>
  <si>
    <t>A</t>
  </si>
  <si>
    <t>Plans</t>
  </si>
  <si>
    <t>Environment (urban, rural)</t>
  </si>
  <si>
    <t>B</t>
  </si>
  <si>
    <t>Operating speed (70km/h, 80km/h 90km/h, 110km/h)</t>
  </si>
  <si>
    <t>C</t>
  </si>
  <si>
    <t>Divided or Undivided</t>
  </si>
  <si>
    <t>D</t>
  </si>
  <si>
    <t>Number of lanes in the direction of travel</t>
  </si>
  <si>
    <t>E</t>
  </si>
  <si>
    <t>Lane width (m)</t>
  </si>
  <si>
    <t>F</t>
  </si>
  <si>
    <t>Design AADT (veh/day)</t>
  </si>
  <si>
    <t>G</t>
  </si>
  <si>
    <t>Length of road segment (m)</t>
  </si>
  <si>
    <t>H</t>
  </si>
  <si>
    <t>Particular road characteristics</t>
  </si>
  <si>
    <t>Chainage where roadside is assessed</t>
  </si>
  <si>
    <t>I</t>
  </si>
  <si>
    <t>J</t>
  </si>
  <si>
    <t>K</t>
  </si>
  <si>
    <t>Hazard on the inside or outside of the curve?</t>
  </si>
  <si>
    <t>L</t>
  </si>
  <si>
    <t>M</t>
  </si>
  <si>
    <t>Background hazard characteristics</t>
  </si>
  <si>
    <t>Description</t>
  </si>
  <si>
    <t>N</t>
  </si>
  <si>
    <t>Lateral distance to the background hazards from the edge of lane (m) (Refer to Figure B.10)</t>
  </si>
  <si>
    <t>O</t>
  </si>
  <si>
    <t>Isolated hazard characteristics</t>
  </si>
  <si>
    <t>P</t>
  </si>
  <si>
    <t>Length of hazard (m)</t>
  </si>
  <si>
    <t>Q</t>
  </si>
  <si>
    <t>Average distance between hazards (m) (1 if no isolated hazards)</t>
  </si>
  <si>
    <t>R</t>
  </si>
  <si>
    <t>* hazard is considered continuous if ≤20m spacing. If spacing is ≤20m use "background hazard" method</t>
  </si>
  <si>
    <t>Lateral distance to the isolated hazards from the edge of lane (m) (Refer to Figure B.10)</t>
  </si>
  <si>
    <t>S</t>
  </si>
  <si>
    <t>Exposure</t>
  </si>
  <si>
    <t>Base exposure (encroachments/km/year)</t>
  </si>
  <si>
    <t>T</t>
  </si>
  <si>
    <t>Figure B.1 or Figure B.2</t>
  </si>
  <si>
    <t>Number of lanes factor</t>
  </si>
  <si>
    <t>U</t>
  </si>
  <si>
    <t>Table B.1 or Table B.2</t>
  </si>
  <si>
    <t>Lane width factor</t>
  </si>
  <si>
    <t>V</t>
  </si>
  <si>
    <t>Table B.1, Table B.2 or Table B.3</t>
  </si>
  <si>
    <t>Terrain factor</t>
  </si>
  <si>
    <t>W</t>
  </si>
  <si>
    <t>Grade factor</t>
  </si>
  <si>
    <t>X</t>
  </si>
  <si>
    <t>Figure B.3</t>
  </si>
  <si>
    <t>Curve Correction factor</t>
  </si>
  <si>
    <t>Y</t>
  </si>
  <si>
    <t>Figure B.4</t>
  </si>
  <si>
    <t>Exposure (encroachments/km/yr)</t>
  </si>
  <si>
    <t>Z</t>
  </si>
  <si>
    <t>Product T to Y</t>
  </si>
  <si>
    <t>Likelihood</t>
  </si>
  <si>
    <t>Likelihood for background hazards (considering curve radius)</t>
  </si>
  <si>
    <t>AA</t>
  </si>
  <si>
    <t>Figure B.6, Figure B.7 or Figure B.8</t>
  </si>
  <si>
    <t>Modification factor for likelihood if the isolated hazards shield the background hazards (Use 1.00 if shielding does not exist)</t>
  </si>
  <si>
    <t>AB</t>
  </si>
  <si>
    <t>1-(Q+18/MIN(R,H)</t>
  </si>
  <si>
    <t>Modified likelihood for background hazards</t>
  </si>
  <si>
    <t>AC</t>
  </si>
  <si>
    <t>AA*AB</t>
  </si>
  <si>
    <t>Likelihood of impacts with isolated (point) hazards (based on being continuous)</t>
  </si>
  <si>
    <t>AD</t>
  </si>
  <si>
    <t xml:space="preserve">Likelihood of impacts with isolated hazards </t>
  </si>
  <si>
    <t>AE</t>
  </si>
  <si>
    <t>AD*(Q+18)/MIN(R,H)</t>
  </si>
  <si>
    <t>Shoulder Width/Flat Area (&lt;6:1) (m)</t>
  </si>
  <si>
    <t>Likelihood of a rollover</t>
  </si>
  <si>
    <t>AF</t>
  </si>
  <si>
    <t>Equation A2</t>
  </si>
  <si>
    <t>Severity (Trauma Index)</t>
  </si>
  <si>
    <t>Trauma Index for background hazards (operating speed of 110km/h)</t>
  </si>
  <si>
    <t>AH</t>
  </si>
  <si>
    <t>Table B.4 to Table B.7</t>
  </si>
  <si>
    <t>Trauma Index for background hazards at the appropriate operating speed</t>
  </si>
  <si>
    <t>AJ</t>
  </si>
  <si>
    <t>Appendix B.4.5</t>
  </si>
  <si>
    <t>Trauma Index for isolated hazards (operating speed of 110km/h)</t>
  </si>
  <si>
    <t>AK</t>
  </si>
  <si>
    <t>Table B.8 and Table B.9</t>
  </si>
  <si>
    <t>Trauma Index for isolated hazards at the appropriate operating speed</t>
  </si>
  <si>
    <t>AL</t>
  </si>
  <si>
    <t>Trama Index for a rollover</t>
  </si>
  <si>
    <t>AM</t>
  </si>
  <si>
    <t>Risk Score</t>
  </si>
  <si>
    <t>Calculate Risk score (product of the exposure, likelihood and Trauma Index) for the background hazards</t>
  </si>
  <si>
    <t>AP</t>
  </si>
  <si>
    <t>Z*AC*AJ</t>
  </si>
  <si>
    <t>Calculate Risk score (product of the exposure, likelihood and Trauma Index) for the isolated hazards</t>
  </si>
  <si>
    <t>AQ</t>
  </si>
  <si>
    <t>Z*AE*AL</t>
  </si>
  <si>
    <t>Calculate Risk Score (product of the exposure, likelihood and Trauma Index) for rollover events</t>
  </si>
  <si>
    <t>AR</t>
  </si>
  <si>
    <t>Z*AF*AM</t>
  </si>
  <si>
    <t>Combine Risk Score</t>
  </si>
  <si>
    <t>AS</t>
  </si>
  <si>
    <t>AP+AQ+AR</t>
  </si>
  <si>
    <t>Terrain</t>
  </si>
  <si>
    <t>Environment</t>
  </si>
  <si>
    <t>Speed</t>
  </si>
  <si>
    <t>Undivided</t>
  </si>
  <si>
    <t>Lane Width</t>
  </si>
  <si>
    <t>Rolling</t>
  </si>
  <si>
    <t>Rural</t>
  </si>
  <si>
    <t>70 km/h</t>
  </si>
  <si>
    <t>≥2</t>
  </si>
  <si>
    <t>≥3</t>
  </si>
  <si>
    <t>Mountainous</t>
  </si>
  <si>
    <t>80 km/h</t>
  </si>
  <si>
    <t>90 km/h</t>
  </si>
  <si>
    <t>100 km/h</t>
  </si>
  <si>
    <t>110 km/h</t>
  </si>
  <si>
    <t>Length of Road</t>
  </si>
  <si>
    <t>Verge or Median</t>
  </si>
  <si>
    <t>Grade</t>
  </si>
  <si>
    <t>60km/h and 70km/h Curve</t>
  </si>
  <si>
    <t>&gt;70km/h Curve</t>
  </si>
  <si>
    <t>Direction</t>
  </si>
  <si>
    <t>Inside or Outside</t>
  </si>
  <si>
    <t>Hazard</t>
  </si>
  <si>
    <t>Lateral Distance</t>
  </si>
  <si>
    <t>Spacing</t>
  </si>
  <si>
    <t>Straight</t>
  </si>
  <si>
    <t>None</t>
  </si>
  <si>
    <t>0.5m</t>
  </si>
  <si>
    <t>Median</t>
  </si>
  <si>
    <t>1000m R</t>
  </si>
  <si>
    <t>1200m R</t>
  </si>
  <si>
    <t>Right</t>
  </si>
  <si>
    <t>Outside</t>
  </si>
  <si>
    <t>1.0m</t>
  </si>
  <si>
    <t>1100m R</t>
  </si>
  <si>
    <t>Signs breakaway</t>
  </si>
  <si>
    <t>1.5m</t>
  </si>
  <si>
    <t>800m R</t>
  </si>
  <si>
    <t>Small wooden sign</t>
  </si>
  <si>
    <t>700m R</t>
  </si>
  <si>
    <t>600m R</t>
  </si>
  <si>
    <t>3.0m</t>
  </si>
  <si>
    <t>500m R</t>
  </si>
  <si>
    <t>Generic fixed object</t>
  </si>
  <si>
    <t>3.5m</t>
  </si>
  <si>
    <t>450m R</t>
  </si>
  <si>
    <t>4.0m</t>
  </si>
  <si>
    <t>400m R</t>
  </si>
  <si>
    <t>4.5m</t>
  </si>
  <si>
    <t>300m R</t>
  </si>
  <si>
    <t>Traffic signal pole</t>
  </si>
  <si>
    <t>5.0m</t>
  </si>
  <si>
    <t>200m R</t>
  </si>
  <si>
    <t>Bridge pier column</t>
  </si>
  <si>
    <t>5.5m</t>
  </si>
  <si>
    <t>≤150m R</t>
  </si>
  <si>
    <t>≤300m R</t>
  </si>
  <si>
    <t>Generic rigid wall</t>
  </si>
  <si>
    <t>6.0m</t>
  </si>
  <si>
    <t>Rock cutting</t>
  </si>
  <si>
    <t>6.5m</t>
  </si>
  <si>
    <t>7.0m</t>
  </si>
  <si>
    <t>Rocks protruding between 200-300mm above the road surface</t>
  </si>
  <si>
    <t>7.5m</t>
  </si>
  <si>
    <t>Ruts in the ground surface more than 300mm deep</t>
  </si>
  <si>
    <t>8.0m</t>
  </si>
  <si>
    <t>Rocks protruding between 100-150mm above the road surface</t>
  </si>
  <si>
    <t>8.5m</t>
  </si>
  <si>
    <t>Ruts in the ground surface between 200 and 300 mm deep</t>
  </si>
  <si>
    <t>9.0m</t>
  </si>
  <si>
    <t xml:space="preserve">Cut 6:1 to 3:1 (All heights) </t>
  </si>
  <si>
    <t>9.5m</t>
  </si>
  <si>
    <t xml:space="preserve">Cut 2:1 (All heights) </t>
  </si>
  <si>
    <t>10.0m</t>
  </si>
  <si>
    <t xml:space="preserve">Cut 1.5:1 (All heights) </t>
  </si>
  <si>
    <t>10.5m</t>
  </si>
  <si>
    <t xml:space="preserve">Cut 1:1 (All heights) </t>
  </si>
  <si>
    <t>11.0m</t>
  </si>
  <si>
    <t>11.5m</t>
  </si>
  <si>
    <t xml:space="preserve">Fill 6:1 (All heights) </t>
  </si>
  <si>
    <t>12.0m</t>
  </si>
  <si>
    <t xml:space="preserve">Fill 4:1 (0 to 2m) </t>
  </si>
  <si>
    <t>12.5m</t>
  </si>
  <si>
    <r>
      <t>Fill 4:1 (</t>
    </r>
    <r>
      <rPr>
        <sz val="11"/>
        <color theme="1"/>
        <rFont val="Calibri"/>
        <family val="2"/>
      </rPr>
      <t xml:space="preserve">&gt;2m) </t>
    </r>
  </si>
  <si>
    <t>13.0m</t>
  </si>
  <si>
    <t>Fill 3:1 (0 to 2m)</t>
  </si>
  <si>
    <t>Fill 3:1 (2 to 5m)</t>
  </si>
  <si>
    <t>Fill 3:1 (5 to 20m)</t>
  </si>
  <si>
    <t>Fill 3:1 (&gt;20m)</t>
  </si>
  <si>
    <t>Fill 2:1 (0 to 2m)</t>
  </si>
  <si>
    <t>Fill 2:1 (2 to 5m)</t>
  </si>
  <si>
    <t>Fill 2:1 (5 to 10m)</t>
  </si>
  <si>
    <t>Fill 2:1 (10 to 20m)</t>
  </si>
  <si>
    <t>Fill 2:1 (&gt;20m)</t>
  </si>
  <si>
    <t>Fill 1.5:1 (0 to 2m)</t>
  </si>
  <si>
    <t>Fill 1.5:1 (2 to 5m)</t>
  </si>
  <si>
    <t>Fill 1.5:1 (5 to 10m)</t>
  </si>
  <si>
    <t>Fill 1.5:1 (10 to 20m)</t>
  </si>
  <si>
    <t>Fill 1.5:1 (&gt;20m)</t>
  </si>
  <si>
    <t>Drop 0m (Water 1m and lower deep)</t>
  </si>
  <si>
    <t>Drop 0m (Water 2m deep)</t>
  </si>
  <si>
    <t>Drop 0m (Water 4m deep)</t>
  </si>
  <si>
    <t>Drop 0m (&gt;6m deep)</t>
  </si>
  <si>
    <t>Drop 0.3m (Water 1m and lower deep)</t>
  </si>
  <si>
    <t>Drop 0.3m (Water 2m deep)</t>
  </si>
  <si>
    <t>Drop 0.3m (Water 4m deep)</t>
  </si>
  <si>
    <t>Drop 0.3m (&gt;6m deep)</t>
  </si>
  <si>
    <t>Drop 2m (Water 1m and lower deep)</t>
  </si>
  <si>
    <t>Drop 2m (Water 2m deep)</t>
  </si>
  <si>
    <t>Drop 2m (Water 4m deep)</t>
  </si>
  <si>
    <t>Drop 2m (&gt;6m deep)</t>
  </si>
  <si>
    <t>Drop 4m (Water 1m and lower deep)</t>
  </si>
  <si>
    <t>Drop 4m (Water 4m deep)</t>
  </si>
  <si>
    <t>Drop 4m (&gt;6m deep)</t>
  </si>
  <si>
    <t>Drop 6m (Water 1m and lower deep)</t>
  </si>
  <si>
    <t>Drop 6m (Water 6m deep)</t>
  </si>
  <si>
    <t>Drop 6m (Water 4m deep)</t>
  </si>
  <si>
    <t>Drop 6m (&gt;6m deep)</t>
  </si>
  <si>
    <t>Drop 8m (Water 1m and lower deep)</t>
  </si>
  <si>
    <t>Drop 8m (Water 8m deep)</t>
  </si>
  <si>
    <t>Drop 8m (Water 4m deep)</t>
  </si>
  <si>
    <t>Drop 8m (&gt;6m deep)</t>
  </si>
  <si>
    <t>Drop 10m or higher (Water 1m and lower deep)</t>
  </si>
  <si>
    <t>Drop 10m or higher (Water 10m or higher deep)</t>
  </si>
  <si>
    <t>Drop 10m or higher (Water 4m deep)</t>
  </si>
  <si>
    <t>Drop 10m or higher (&gt;6m deep)</t>
  </si>
  <si>
    <t>V Drain 6:1 Foreslope 6:1 Backslope</t>
  </si>
  <si>
    <t>V Drain 6:1 Foreslope 4:1 Backslope</t>
  </si>
  <si>
    <t>V Drain 6:1 Foreslope 3:1 Backslope</t>
  </si>
  <si>
    <t>V Drain 6:1 Foreslope 2:1 Backslope</t>
  </si>
  <si>
    <t>V Drain 4:1 Foreslope 4:1 Backslope</t>
  </si>
  <si>
    <t>V Drain 4:1 Foreslope 3:1 Backslope</t>
  </si>
  <si>
    <t>V Drain 4:1 Foreslope 2:1 Backslope</t>
  </si>
  <si>
    <t>V Drain 3:1 Foreslope 4:1 Backslope</t>
  </si>
  <si>
    <t>V Drain 3:1 Foreslope 3:1 Backslope</t>
  </si>
  <si>
    <t>V Drain 3:1 Foreslope 2:1 Backslope</t>
  </si>
  <si>
    <t>V Drain 2:1 Foreslope 3:1 Backslope</t>
  </si>
  <si>
    <t>V Drain 2:1 Foreslope 2:1 Backslope</t>
  </si>
  <si>
    <t>Upslope 6:1 and Flatter (All Heights)</t>
  </si>
  <si>
    <t>Upslope 4:1 (All Heights)</t>
  </si>
  <si>
    <t xml:space="preserve">Upslope 3:1 (All Heights) </t>
  </si>
  <si>
    <t xml:space="preserve">Upslopes 2:1 (All Heights) </t>
  </si>
  <si>
    <t xml:space="preserve">Upslopes 1.5:1 (All Heights) </t>
  </si>
  <si>
    <t xml:space="preserve">Upslopes 1:1 (All Heights) </t>
  </si>
  <si>
    <t>Downslope 6:1 and Flatter (0 to 2m)</t>
  </si>
  <si>
    <t>Downslope 6:1 and Flatter (2 to 5m)</t>
  </si>
  <si>
    <t>Downslope 6:1 and Flatter (&gt;5m)</t>
  </si>
  <si>
    <t>Downslope 4:1 and Flatter (0 to 2m)</t>
  </si>
  <si>
    <t>Downslope 4:1 and Flatter (2 to 5m)</t>
  </si>
  <si>
    <t>Downslope 4:1 and Flatter (5 to 10m)</t>
  </si>
  <si>
    <t>Downslope 4:1 and Flatter (&gt;10m)</t>
  </si>
  <si>
    <t>Downslope 3:1 and Flatter (0 to 2m)</t>
  </si>
  <si>
    <t>Downslope 3:1 and Flatter (2 to 5m)</t>
  </si>
  <si>
    <t>Downslope 3:1 and Flatter (5 to 10m)</t>
  </si>
  <si>
    <t>Downslope 3:1 and Flatter (&gt;10m)</t>
  </si>
  <si>
    <t>Downslope 2:1 and Flatter (0 to 2m)</t>
  </si>
  <si>
    <t>Downslope 2:1 and Flatter (2 to 5m)</t>
  </si>
  <si>
    <t>Downslope 2:1 and Flatter (5 to 10m)</t>
  </si>
  <si>
    <t>Downslope 2:1 and Flatter (&gt;10m)</t>
  </si>
  <si>
    <t>Downslope 1.5:1 and Flatter (0 to 2m)</t>
  </si>
  <si>
    <t>Downslope 1.5:1 and Flatter (2 to 5m)</t>
  </si>
  <si>
    <t>Downslope 1.5:1 and Flatter (5 to 10m)</t>
  </si>
  <si>
    <t>Downslope 1.5:1 and Flatter (&gt;10m)</t>
  </si>
  <si>
    <t>AADT Undivided</t>
  </si>
  <si>
    <t>AADT Divided</t>
  </si>
  <si>
    <t>≤1000 AADT</t>
  </si>
  <si>
    <t>1,000-2,000 AADT</t>
  </si>
  <si>
    <t>2,000-3,000 AADT</t>
  </si>
  <si>
    <t>3,000-4,000 AADT</t>
  </si>
  <si>
    <t>4,000-5,000 AADT</t>
  </si>
  <si>
    <t>5,000-6,000 AADT</t>
  </si>
  <si>
    <t>6,000-7,000 AADT</t>
  </si>
  <si>
    <t>7,000-8,000 AADT</t>
  </si>
  <si>
    <t>8,000-9,000 AADT</t>
  </si>
  <si>
    <t>9,000-10,000 AADT</t>
  </si>
  <si>
    <t>10,000-11,000 AADT</t>
  </si>
  <si>
    <t>11,000-12,000 AADT</t>
  </si>
  <si>
    <t>12,000-13,000 AADT</t>
  </si>
  <si>
    <t>13,000-14,000 AADT</t>
  </si>
  <si>
    <t>14,000-15,000 AADT</t>
  </si>
  <si>
    <t>15,000-16,000 AADT</t>
  </si>
  <si>
    <t>16,000-17,000 AADT</t>
  </si>
  <si>
    <t>17,000-18,000 AADT</t>
  </si>
  <si>
    <t>18,000-19,000 AADT</t>
  </si>
  <si>
    <t>19,000-20,000 AADT</t>
  </si>
  <si>
    <t>&gt;20,000 AADT</t>
  </si>
  <si>
    <t>20,000-21,000 AADT</t>
  </si>
  <si>
    <t>21,000-22,000 AADT</t>
  </si>
  <si>
    <t>22,000-23,000 AADT</t>
  </si>
  <si>
    <t>23,000-24,000 AADT</t>
  </si>
  <si>
    <t>24,000-25,000 AADT</t>
  </si>
  <si>
    <t>25,000-26,000 AADT</t>
  </si>
  <si>
    <t>26,000-27,000 AADT</t>
  </si>
  <si>
    <t>27,000-28,000 AADT</t>
  </si>
  <si>
    <t>28,000-29,000 AADT</t>
  </si>
  <si>
    <t>29,000-30,000 AADT</t>
  </si>
  <si>
    <t>30,000-31,000 AADT</t>
  </si>
  <si>
    <t>31,000-32,000 AADT</t>
  </si>
  <si>
    <t>32,000-33,000 AADT</t>
  </si>
  <si>
    <t>33,000-34,000 AADT</t>
  </si>
  <si>
    <t>34,000-35,000 AADT</t>
  </si>
  <si>
    <t>35,000-36,000 AADT</t>
  </si>
  <si>
    <t>36,000-37,000 AADT</t>
  </si>
  <si>
    <t>37,000-38,000 AADT</t>
  </si>
  <si>
    <t>38,000-39,000 AADT</t>
  </si>
  <si>
    <t>39,000-40,000 AADT</t>
  </si>
  <si>
    <t>&gt;40,000 AADT</t>
  </si>
  <si>
    <t>60km/h and 70km/h Likelihood Curves</t>
  </si>
  <si>
    <t>80km/h and 90km/h Likelihood Curves</t>
  </si>
  <si>
    <t>100km/h and 110km/h Likelihood Curves</t>
  </si>
  <si>
    <t>Factor</t>
  </si>
  <si>
    <t>no of Lanes</t>
  </si>
  <si>
    <t>Upgrade or Flat or downgrade up to 4 percent</t>
  </si>
  <si>
    <t>Downgrade from 4 percent to 6 percent</t>
  </si>
  <si>
    <t>Downgrade greater than 6 percent</t>
  </si>
  <si>
    <t>InsideStraight</t>
  </si>
  <si>
    <t>Inside1000m R</t>
  </si>
  <si>
    <t>Inside900m R</t>
  </si>
  <si>
    <t>Inside800m R</t>
  </si>
  <si>
    <t>Inside700m R</t>
  </si>
  <si>
    <t>Inside600m R</t>
  </si>
  <si>
    <t>Inside500m R</t>
  </si>
  <si>
    <t>Inside450m R</t>
  </si>
  <si>
    <t>Inside400m R</t>
  </si>
  <si>
    <t>Inside300m R</t>
  </si>
  <si>
    <t>Inside200m R</t>
  </si>
  <si>
    <t>Inside≤150m R</t>
  </si>
  <si>
    <t>OutsideStraight</t>
  </si>
  <si>
    <t>Outside1000m R</t>
  </si>
  <si>
    <t>Outside900m R</t>
  </si>
  <si>
    <t>Outside800m R</t>
  </si>
  <si>
    <t>Outside700m R</t>
  </si>
  <si>
    <t>Outside600m R</t>
  </si>
  <si>
    <t>Outside500m R</t>
  </si>
  <si>
    <t>Outside450m R</t>
  </si>
  <si>
    <t>Outside400m R</t>
  </si>
  <si>
    <t>Outside300m R</t>
  </si>
  <si>
    <t>Outside200m R</t>
  </si>
  <si>
    <t>Outside≤150m R</t>
  </si>
  <si>
    <t>Curve</t>
  </si>
  <si>
    <t>Inside1200m R</t>
  </si>
  <si>
    <t>Inside1100m R</t>
  </si>
  <si>
    <t>Outside1200m R</t>
  </si>
  <si>
    <t>Outside1100m R</t>
  </si>
  <si>
    <t>Outside≤300m R</t>
  </si>
  <si>
    <t>Isolated</t>
  </si>
  <si>
    <t>Background</t>
  </si>
  <si>
    <t>Rollover</t>
  </si>
  <si>
    <r>
      <rPr>
        <sz val="11"/>
        <color theme="1"/>
        <rFont val="Calibri"/>
        <family val="2"/>
      </rPr>
      <t>≥</t>
    </r>
    <r>
      <rPr>
        <sz val="11"/>
        <color theme="1"/>
        <rFont val="Calibri"/>
        <family val="2"/>
        <scheme val="minor"/>
      </rPr>
      <t>3</t>
    </r>
  </si>
  <si>
    <t>60 km/h-Urban-Undivided</t>
  </si>
  <si>
    <t>70 km/h-Urban-Undivided</t>
  </si>
  <si>
    <t>80 km/h-Urban-Undivided</t>
  </si>
  <si>
    <t>90 km/h-Urban-Undivided</t>
  </si>
  <si>
    <t>100 km/h-Urban-Undivided</t>
  </si>
  <si>
    <t>110 km/h-Urban-Undivided</t>
  </si>
  <si>
    <t>60 km/h-Urban-Divided</t>
  </si>
  <si>
    <t>70 km/h-Urban-Divided</t>
  </si>
  <si>
    <t>80 km/h-Urban-Divided</t>
  </si>
  <si>
    <t>90 km/h-Urban-Divided</t>
  </si>
  <si>
    <t>100 km/h-Urban-Divided</t>
  </si>
  <si>
    <t>110 km/h-Urban-Divided</t>
  </si>
  <si>
    <t>60 km/h-Rural-Undivided</t>
  </si>
  <si>
    <t>70 km/h-Rural-Undivided</t>
  </si>
  <si>
    <t>80 km/h-Rural-Undivided</t>
  </si>
  <si>
    <t>90 km/h-Rural-Undivided</t>
  </si>
  <si>
    <t>100 km/h-Rural-Undivided</t>
  </si>
  <si>
    <t>110 km/h-Rural-Undivided</t>
  </si>
  <si>
    <t>60 km/h-Rural-Divided</t>
  </si>
  <si>
    <t>70 km/h-Rural-Divided</t>
  </si>
  <si>
    <t>80 km/h-Rural-Divided</t>
  </si>
  <si>
    <t>90 km/h-Rural-Divided</t>
  </si>
  <si>
    <t>100 km/h-Rural-Divided</t>
  </si>
  <si>
    <t>110 km/h-Rural-Divided</t>
  </si>
  <si>
    <t>Question</t>
  </si>
  <si>
    <t>Input</t>
  </si>
  <si>
    <t>Comment</t>
  </si>
  <si>
    <t>Instructions:</t>
  </si>
  <si>
    <t>Project Name:</t>
  </si>
  <si>
    <t>Section Name:</t>
  </si>
  <si>
    <t>Section Label:</t>
  </si>
  <si>
    <t>This information will be included at the top of the "Print Sheet"</t>
  </si>
  <si>
    <t>2. Complete the information in the "Risk Score Calculator" to determine the risk score for the section of road</t>
  </si>
  <si>
    <t>This is measured from the edge of the 'through' travel lane to the face of hazard</t>
  </si>
  <si>
    <t>1km sections should be used for 'planning'. A minimum of 200m sections should be used for 'design'. 100m sections should only be used when assessing a single isolated hazard (such as a culvert).</t>
  </si>
  <si>
    <t>Urban is defined by the greater Melbourne area or the built up areas of Regional Centres or towns.</t>
  </si>
  <si>
    <t>Selector</t>
  </si>
  <si>
    <t>You can either print this sheet as a PDF and insert it into your report, or simply copy and paste this worksheet and insert it into your report.</t>
  </si>
  <si>
    <t>Combined Risk Score</t>
  </si>
  <si>
    <t>Are the hazards on the inside or outside of the curve?</t>
  </si>
  <si>
    <t xml:space="preserve">1. Complete the project description below </t>
  </si>
  <si>
    <t>The operating speed may be greater or less than the posted speed based on the road geometry. If you are unsure, make a selection based on the posted speed of the road</t>
  </si>
  <si>
    <t>If the width of lane falls between these values, select the closest value. I.e. if the lane width is 3.1m wide, select "3.0". If the lane width is 3.2m, select "3.3".</t>
  </si>
  <si>
    <t>The project should be divided into sections of 1km or less for the purposes of the risk assessment. The "Section Name" is a descriptive name to identify the section.</t>
  </si>
  <si>
    <t>Side of road which is being assessed, either verge or median</t>
  </si>
  <si>
    <t>The "verge" is the roadside on the left hand side of a divided carriageway. The "median" is the area between a divided carriageway. Select "verge" if it is a undivided carriageway.</t>
  </si>
  <si>
    <t>Curve radius (m)</t>
  </si>
  <si>
    <t>If the radius (m) falls between one of the categories, select the closest value. I.e. if the radius is 720m, select "700m R". If the radius is 760m, select "800m R"</t>
  </si>
  <si>
    <t>The "Section Name" can be based on the start and end chainage, a significant place in the section or the street names at the start and end of the section.</t>
  </si>
  <si>
    <t>Curve direction (straight/left/right in the direction of travel)</t>
  </si>
  <si>
    <t>If the road is straight, select either "outside" or "inside" as it will not make any difference to the calculation.</t>
  </si>
  <si>
    <t>Upgrade</t>
  </si>
  <si>
    <t>Downgrade up to 4 percent</t>
  </si>
  <si>
    <t>Slip base or energy absorbing poles</t>
  </si>
  <si>
    <t>Road Safety Barriers</t>
  </si>
  <si>
    <t>Project Details</t>
  </si>
  <si>
    <t>What is the roadside risk score for the section?</t>
  </si>
  <si>
    <t xml:space="preserve">Is the roadside risk score below the NDD NRRIT or below the NRRIT set for the corridor? </t>
  </si>
  <si>
    <t>Yes</t>
  </si>
  <si>
    <t>No</t>
  </si>
  <si>
    <t>Removing or eliminating hazard</t>
  </si>
  <si>
    <t>Relocate hazard</t>
  </si>
  <si>
    <t>Shield hazard using Road Safety Barriers</t>
  </si>
  <si>
    <t>Reduce posted speed</t>
  </si>
  <si>
    <t xml:space="preserve"> </t>
  </si>
  <si>
    <t>Design the hazard to reduce the severity</t>
  </si>
  <si>
    <t>Does the section of road have a roadside crash history?</t>
  </si>
  <si>
    <t>Primary Mitigation Measures</t>
  </si>
  <si>
    <t>Secondary Mitigation Measures</t>
  </si>
  <si>
    <t>Seal and/or widen shoulder</t>
  </si>
  <si>
    <t>Edge marker posts (guideposts)</t>
  </si>
  <si>
    <t>Audio Tactile Linemarking (ATLM)</t>
  </si>
  <si>
    <t>Street Lighting</t>
  </si>
  <si>
    <t>Skid resistant surface</t>
  </si>
  <si>
    <t>Signs (Regulatory and Warning)</t>
  </si>
  <si>
    <t>Additional Delineation (Linemarking and RRPMs)</t>
  </si>
  <si>
    <t>Does the roadside require mitigation to reduce the roadside risk score?</t>
  </si>
  <si>
    <t>4. Create a PDF of the "Print Sheet" and "Roadside Risk Checklist" or copy and paste the worksheets into the project report</t>
  </si>
  <si>
    <t>3. Complete the "Roadside Risk Checklist" to determine what mitigation measures are required</t>
  </si>
  <si>
    <t>Primary Measure 1</t>
  </si>
  <si>
    <t>Primary Measure 2</t>
  </si>
  <si>
    <t>Primary Measure 3</t>
  </si>
  <si>
    <t>What primary mitigation measures are being considered?</t>
  </si>
  <si>
    <t>Provide details of Crash History (Fatal, Serious and Other)</t>
  </si>
  <si>
    <t>What secondary mitigation measures are being considered?</t>
  </si>
  <si>
    <t>Secondary Measure 1</t>
  </si>
  <si>
    <t>Secondary Measure 2</t>
  </si>
  <si>
    <t>Secondary Measure 3</t>
  </si>
  <si>
    <t>Q.1</t>
  </si>
  <si>
    <t>Q.2</t>
  </si>
  <si>
    <t>Q.3</t>
  </si>
  <si>
    <t>Q.4</t>
  </si>
  <si>
    <t>Q.5</t>
  </si>
  <si>
    <t>Q.6</t>
  </si>
  <si>
    <t>Q.7</t>
  </si>
  <si>
    <t>Q.8</t>
  </si>
  <si>
    <t>Q.9</t>
  </si>
  <si>
    <t>Q.10</t>
  </si>
  <si>
    <t>Q.11</t>
  </si>
  <si>
    <t>Q.12</t>
  </si>
  <si>
    <t>Q.13</t>
  </si>
  <si>
    <t>Q.14</t>
  </si>
  <si>
    <t>Q.15</t>
  </si>
  <si>
    <t>Q.16</t>
  </si>
  <si>
    <t>Q.17</t>
  </si>
  <si>
    <t>Q.18</t>
  </si>
  <si>
    <t>Q.19</t>
  </si>
  <si>
    <t>Q.20</t>
  </si>
  <si>
    <t>Q.21</t>
  </si>
  <si>
    <t>If the hazard is a point hazard (such as a pole), type "1"</t>
  </si>
  <si>
    <t>Costa Highway</t>
  </si>
  <si>
    <t>CHA 400 to CHA 1400</t>
  </si>
  <si>
    <t>Yates St to Coulson Rd</t>
  </si>
  <si>
    <r>
      <t xml:space="preserve">Is the terrain </t>
    </r>
    <r>
      <rPr>
        <b/>
        <sz val="11"/>
        <color theme="1"/>
        <rFont val="Calibri"/>
        <family val="2"/>
        <scheme val="minor"/>
      </rPr>
      <t>flat</t>
    </r>
    <r>
      <rPr>
        <sz val="11"/>
        <color theme="1"/>
        <rFont val="Calibri"/>
        <family val="2"/>
        <scheme val="minor"/>
      </rPr>
      <t xml:space="preserve">, </t>
    </r>
    <r>
      <rPr>
        <b/>
        <sz val="11"/>
        <color theme="1"/>
        <rFont val="Calibri"/>
        <family val="2"/>
        <scheme val="minor"/>
      </rPr>
      <t>rolling</t>
    </r>
    <r>
      <rPr>
        <sz val="11"/>
        <color theme="1"/>
        <rFont val="Calibri"/>
        <family val="2"/>
        <scheme val="minor"/>
      </rPr>
      <t xml:space="preserve"> or </t>
    </r>
    <r>
      <rPr>
        <b/>
        <sz val="11"/>
        <color theme="1"/>
        <rFont val="Calibri"/>
        <family val="2"/>
        <scheme val="minor"/>
      </rPr>
      <t>mountainous</t>
    </r>
    <r>
      <rPr>
        <sz val="11"/>
        <color theme="1"/>
        <rFont val="Calibri"/>
        <family val="2"/>
        <scheme val="minor"/>
      </rPr>
      <t>?</t>
    </r>
  </si>
  <si>
    <r>
      <t xml:space="preserve">Is the environment </t>
    </r>
    <r>
      <rPr>
        <b/>
        <sz val="11"/>
        <color theme="1"/>
        <rFont val="Calibri"/>
        <family val="2"/>
        <scheme val="minor"/>
      </rPr>
      <t>urban</t>
    </r>
    <r>
      <rPr>
        <sz val="11"/>
        <color theme="1"/>
        <rFont val="Calibri"/>
        <family val="2"/>
        <scheme val="minor"/>
      </rPr>
      <t xml:space="preserve"> or </t>
    </r>
    <r>
      <rPr>
        <b/>
        <sz val="11"/>
        <color theme="1"/>
        <rFont val="Calibri"/>
        <family val="2"/>
        <scheme val="minor"/>
      </rPr>
      <t>rural</t>
    </r>
    <r>
      <rPr>
        <sz val="11"/>
        <color theme="1"/>
        <rFont val="Calibri"/>
        <family val="2"/>
        <scheme val="minor"/>
      </rPr>
      <t>?</t>
    </r>
  </si>
  <si>
    <t>Section of "Print Sheet"</t>
  </si>
  <si>
    <t>Hazard is considered continuous if ≤20m spacing. If spacing is ≤20m assess the hazard as a "Background Hazard" (Q.15 &amp; Q.16)</t>
  </si>
  <si>
    <t>Provide details of 'high risk' elements (See comment below)</t>
  </si>
  <si>
    <t>Complete the "Risk Score Calculator" questions beginning with the top question and working downwards</t>
  </si>
  <si>
    <t>It automatically calculates the risk scores by looking up tables based on the inputs. These tables are based on the tables, graphs and figures in AGRD Part 6.</t>
  </si>
  <si>
    <t>Where the input values do not align with the tables, graphs and figures in AGRD Part 6, these have been interpolated to provide an estimated value.</t>
  </si>
  <si>
    <t>The "Roadside Risk Checklist" steps the project officer through a series or questions to help determine what mitigation is required to reduce the risk score.</t>
  </si>
  <si>
    <t>The "Print Sheet" is based on the format of the worksheets in AGRD Part 6 Appendix B. It will automatically populate based on the inputs from Step 2.</t>
  </si>
  <si>
    <t>The "Print Sheet" is to capture an accurate record of the input values that were used to calculate the risk scores so it can be manually recalculated in the future if necessary.</t>
  </si>
  <si>
    <t>The "Risk Score Calculator" is a simplified questionnaire based on the worksheets in Austroads Guide to Road Design Part 6 Appendix B.</t>
  </si>
  <si>
    <t>This is the start and end chainage for this section of the project. Retain "N/A" if unknown.</t>
  </si>
  <si>
    <r>
      <t xml:space="preserve">Terrain is determined by considering a 5km section of the road. Refer to </t>
    </r>
    <r>
      <rPr>
        <i/>
        <sz val="9"/>
        <color theme="1"/>
        <rFont val="Calibri"/>
        <family val="2"/>
        <scheme val="minor"/>
      </rPr>
      <t>AGRD Part 6 Section 1.9.6</t>
    </r>
    <r>
      <rPr>
        <sz val="9"/>
        <color theme="1"/>
        <rFont val="Calibri"/>
        <family val="2"/>
        <scheme val="minor"/>
      </rPr>
      <t xml:space="preserve"> to help with classifying the context terrain.</t>
    </r>
  </si>
  <si>
    <r>
      <t>If the road is undivided, select "1" or "</t>
    </r>
    <r>
      <rPr>
        <sz val="9"/>
        <color theme="1"/>
        <rFont val="Calibri"/>
        <family val="2"/>
      </rPr>
      <t>≥2". If the road is divided, select "2" or "≥3"</t>
    </r>
  </si>
  <si>
    <r>
      <t xml:space="preserve">Refer to </t>
    </r>
    <r>
      <rPr>
        <i/>
        <sz val="9"/>
        <color theme="1"/>
        <rFont val="Calibri"/>
        <family val="2"/>
        <scheme val="minor"/>
      </rPr>
      <t>Austroads Guide to Road Design Part 6 Section B.4 Severity</t>
    </r>
    <r>
      <rPr>
        <sz val="9"/>
        <color theme="1"/>
        <rFont val="Calibri"/>
        <family val="2"/>
        <scheme val="minor"/>
      </rPr>
      <t xml:space="preserve"> for more information on what each label refers to.</t>
    </r>
  </si>
  <si>
    <t>Do the primary mitigation measures reduce the roadside risk to an acceptable level?</t>
  </si>
  <si>
    <t>Do the secondary mitigation measures reduce the roadside risk to an acceptable level?</t>
  </si>
  <si>
    <t>Trauma Index for a rollover</t>
  </si>
  <si>
    <t>Tree (trunk 150mm to 250mm diameter)</t>
  </si>
  <si>
    <t>Tree (trunk 75 to 100mm diameter)</t>
  </si>
  <si>
    <t>Tree (trunk of 250mm and larger diameter)</t>
  </si>
  <si>
    <t>Vertical Face (All heights)</t>
  </si>
  <si>
    <t>Does the roadside contain any 'high risk sites' that require protection?</t>
  </si>
  <si>
    <t xml:space="preserve">Protection of 'High Risk Sites' </t>
  </si>
  <si>
    <r>
      <t xml:space="preserve">The risk of rollover is only calculated for rural roads and highways (See </t>
    </r>
    <r>
      <rPr>
        <i/>
        <sz val="10"/>
        <color theme="1"/>
        <rFont val="Calibri"/>
        <family val="2"/>
        <scheme val="minor"/>
      </rPr>
      <t>AGRD Part 6 Appendix B Section B.5</t>
    </r>
    <r>
      <rPr>
        <sz val="10"/>
        <color theme="1"/>
        <rFont val="Calibri"/>
        <family val="2"/>
        <scheme val="minor"/>
      </rPr>
      <t>). Input "0" if the conext is an Urban road.</t>
    </r>
  </si>
  <si>
    <t>2. This risk calculator focuses on the  roadside risk of hazards in the verge and median. It does not calculate the risk of head-on crashes.</t>
  </si>
  <si>
    <t>4. Some of the charts and values from Austroads Guide to Road Design have been adapted and interpolated to provide values for criteria not specified in the guide.</t>
  </si>
  <si>
    <t xml:space="preserve">5. The calculator has been checked and reviewed but may still contain errors. These will be updated in subsequent releases of the calculator. </t>
  </si>
  <si>
    <t>6. It is the responsibility of the user to check values from this calculator against the guidance in Austroads Guide to Road Design Part 6.</t>
  </si>
  <si>
    <t>7. It is the responsibility of the user to ensure they are using the most current risk score calculator.</t>
  </si>
  <si>
    <t>Disclaimers:</t>
  </si>
  <si>
    <t>The AADT is for two-way for Undivided roads. The AADT is for each carriageway where the road is Divided.</t>
  </si>
  <si>
    <t>If the road has a central barrier in a narrow median (whether kerbed or unkerbed), it is considered as a "Divided" road as the road will operate as a divided road due to the central barrier restricting access.</t>
  </si>
  <si>
    <r>
      <t xml:space="preserve">3. This risk calculator has been developed based on the information contained in </t>
    </r>
    <r>
      <rPr>
        <i/>
        <sz val="11"/>
        <color rgb="FF00B2A9"/>
        <rFont val="Calibri"/>
        <family val="2"/>
        <scheme val="minor"/>
      </rPr>
      <t>Austroads Guide to Road Design Part 6 Appendix B</t>
    </r>
    <r>
      <rPr>
        <sz val="11"/>
        <color rgb="FF00B2A9"/>
        <rFont val="Calibri"/>
        <family val="2"/>
        <scheme val="minor"/>
      </rPr>
      <t>.</t>
    </r>
  </si>
  <si>
    <r>
      <t xml:space="preserve">8. If you have any corrections or suggestions, please contact the </t>
    </r>
    <r>
      <rPr>
        <i/>
        <sz val="11"/>
        <color rgb="FF00B2A9"/>
        <rFont val="Calibri"/>
        <family val="2"/>
        <scheme val="minor"/>
      </rPr>
      <t>DTP Road Standards</t>
    </r>
    <r>
      <rPr>
        <sz val="11"/>
        <color rgb="FF00B2A9"/>
        <rFont val="Calibri"/>
        <family val="2"/>
        <scheme val="minor"/>
      </rPr>
      <t xml:space="preserve"> team. </t>
    </r>
  </si>
  <si>
    <t xml:space="preserve">The Department of Transport and Planning may have 'high risk sites'  which require protection irrespective of the calculated risk score.  </t>
  </si>
  <si>
    <t>1. The Department of Transport and Planning (Victoria) has developed this risk calculator.</t>
  </si>
  <si>
    <r>
      <t xml:space="preserve">Projects should check relevant supplementary  guidance material produced by DTP's </t>
    </r>
    <r>
      <rPr>
        <i/>
        <sz val="11"/>
        <color rgb="FF53565A"/>
        <rFont val="Calibri"/>
        <family val="2"/>
        <scheme val="minor"/>
      </rPr>
      <t>Road Standards</t>
    </r>
    <r>
      <rPr>
        <sz val="11"/>
        <color rgb="FF53565A"/>
        <rFont val="Calibri"/>
        <family val="2"/>
        <scheme val="minor"/>
      </rPr>
      <t xml:space="preserve"> team to help identify whether the section of road includes 'high risk sites'.</t>
    </r>
  </si>
  <si>
    <r>
      <t xml:space="preserve">In addition, project teams could asses the risk of a site as determined by a risk assessment using the risk matrix in </t>
    </r>
    <r>
      <rPr>
        <i/>
        <sz val="11"/>
        <color rgb="FF53565A"/>
        <rFont val="Calibri"/>
        <family val="2"/>
        <scheme val="minor"/>
      </rPr>
      <t>Austroads Guide to Road Safety Part 6</t>
    </r>
    <r>
      <rPr>
        <sz val="11"/>
        <color rgb="FF53565A"/>
        <rFont val="Calibri"/>
        <family val="2"/>
        <scheme val="minor"/>
      </rPr>
      <t>. Sections of road above Safe System thresholds could be considered "high risk sites".</t>
    </r>
  </si>
  <si>
    <r>
      <t xml:space="preserve">Refer to the </t>
    </r>
    <r>
      <rPr>
        <i/>
        <sz val="11"/>
        <color rgb="FF53565A"/>
        <rFont val="Calibri"/>
        <family val="2"/>
        <scheme val="minor"/>
      </rPr>
      <t>DTP Supplement to Austroads Guide to Road Design Part 6</t>
    </r>
    <r>
      <rPr>
        <sz val="11"/>
        <color rgb="FF53565A"/>
        <rFont val="Calibri"/>
        <family val="2"/>
        <scheme val="minor"/>
      </rPr>
      <t xml:space="preserve"> for commentary on NRRIT ranges such as NDD, EDD and DE</t>
    </r>
  </si>
  <si>
    <t>Appendix VF AGRD Part 6 Risk Score Calculator (v1.0) January 2023</t>
  </si>
  <si>
    <t>Appendix VF Risk Score Calculator (v1.0 - Jan 2023)</t>
  </si>
  <si>
    <t xml:space="preserve"> App VF Risk Score Calculator (v1.0 - 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</si>
</sst>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theme="1"/>
      <name val="Calibri"/>
      <family val="2"/>
    </font>
    <font>
      <sz val="10"/>
      <name val="Calibri"/>
      <family val="2"/>
      <scheme val="minor"/>
    </font>
    <font>
      <b/>
      <sz val="14"/>
      <color rgb="FF24BABD"/>
      <name val="Calibri"/>
      <family val="2"/>
      <scheme val="minor"/>
    </font>
    <font>
      <sz val="11"/>
      <color rgb="FF24BABD"/>
      <name val="Calibri"/>
      <family val="2"/>
      <scheme val="minor"/>
    </font>
    <font>
      <b/>
      <sz val="11"/>
      <color rgb="FF24BABD"/>
      <name val="Calibri"/>
      <family val="2"/>
      <scheme val="minor"/>
    </font>
    <font>
      <i/>
      <sz val="11"/>
      <color rgb="FFF47721"/>
      <name val="Calibri"/>
      <family val="2"/>
      <scheme val="minor"/>
    </font>
    <font>
      <sz val="11"/>
      <name val="Calibri"/>
      <family val="2"/>
      <scheme val="minor"/>
    </font>
    <font>
      <b/>
      <u/>
      <sz val="11"/>
      <color rgb="FF24BABD"/>
      <name val="Calibri"/>
      <family val="2"/>
      <scheme val="minor"/>
    </font>
    <font>
      <b/>
      <sz val="11"/>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sz val="9"/>
      <color theme="1"/>
      <name val="Calibri"/>
      <family val="2"/>
    </font>
    <font>
      <b/>
      <sz val="12"/>
      <color rgb="FF24BABD"/>
      <name val="Calibri"/>
      <family val="2"/>
      <scheme val="minor"/>
    </font>
    <font>
      <sz val="12"/>
      <color rgb="FF24BABD"/>
      <name val="Calibri"/>
      <family val="2"/>
      <scheme val="minor"/>
    </font>
    <font>
      <i/>
      <sz val="10"/>
      <color theme="1"/>
      <name val="Calibri"/>
      <family val="2"/>
      <scheme val="minor"/>
    </font>
    <font>
      <b/>
      <u/>
      <sz val="14"/>
      <color rgb="FF53565A"/>
      <name val="Calibri"/>
      <family val="2"/>
      <scheme val="minor"/>
    </font>
    <font>
      <sz val="11"/>
      <color rgb="FF53565A"/>
      <name val="Calibri"/>
      <family val="2"/>
      <scheme val="minor"/>
    </font>
    <font>
      <b/>
      <sz val="11"/>
      <color rgb="FF53565A"/>
      <name val="Calibri"/>
      <family val="2"/>
      <scheme val="minor"/>
    </font>
    <font>
      <i/>
      <sz val="11"/>
      <color rgb="FF53565A"/>
      <name val="Calibri"/>
      <family val="2"/>
      <scheme val="minor"/>
    </font>
    <font>
      <i/>
      <sz val="11"/>
      <color rgb="FF00B2A9"/>
      <name val="Calibri"/>
      <family val="2"/>
      <scheme val="minor"/>
    </font>
    <font>
      <sz val="11"/>
      <color rgb="FF00B2A9"/>
      <name val="Calibri"/>
      <family val="2"/>
      <scheme val="minor"/>
    </font>
    <font>
      <b/>
      <u/>
      <sz val="11"/>
      <color rgb="FF00B2A9"/>
      <name val="Calibri"/>
      <family val="2"/>
      <scheme val="minor"/>
    </font>
    <font>
      <b/>
      <u/>
      <sz val="14"/>
      <color rgb="FF00B2A9"/>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DFDFD"/>
        <bgColor indexed="64"/>
      </patternFill>
    </fill>
    <fill>
      <patternFill patternType="solid">
        <fgColor rgb="FFE1EEF9"/>
        <bgColor indexed="64"/>
      </patternFill>
    </fill>
    <fill>
      <patternFill patternType="solid">
        <fgColor theme="0" tint="-0.149998474074526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59">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wrapText="1"/>
    </xf>
    <xf numFmtId="0" fontId="2" fillId="3" borderId="0" xfId="0" applyFont="1" applyFill="1" applyProtection="1">
      <protection locked="0"/>
    </xf>
    <xf numFmtId="0" fontId="2" fillId="3" borderId="0" xfId="0" applyFont="1" applyFill="1"/>
    <xf numFmtId="0" fontId="2" fillId="3" borderId="1" xfId="0" applyFont="1" applyFill="1" applyBorder="1"/>
    <xf numFmtId="0" fontId="0" fillId="3" borderId="2" xfId="0" applyFill="1" applyBorder="1"/>
    <xf numFmtId="0" fontId="0" fillId="4" borderId="3" xfId="0" applyFill="1" applyBorder="1" applyAlignment="1">
      <alignment wrapText="1"/>
    </xf>
    <xf numFmtId="0" fontId="0" fillId="4" borderId="3" xfId="0" applyFill="1" applyBorder="1"/>
    <xf numFmtId="0" fontId="0" fillId="4" borderId="2" xfId="0" applyFill="1" applyBorder="1"/>
    <xf numFmtId="0" fontId="0" fillId="0" borderId="4" xfId="0" applyBorder="1"/>
    <xf numFmtId="0" fontId="0" fillId="4" borderId="5" xfId="0" applyFill="1" applyBorder="1"/>
    <xf numFmtId="0" fontId="0" fillId="4" borderId="0" xfId="0" applyFill="1" applyAlignment="1">
      <alignment wrapText="1"/>
    </xf>
    <xf numFmtId="0" fontId="0" fillId="4" borderId="0" xfId="0" applyFill="1"/>
    <xf numFmtId="0" fontId="0" fillId="0" borderId="7" xfId="0" applyBorder="1"/>
    <xf numFmtId="0" fontId="2" fillId="4" borderId="5" xfId="0" applyFont="1" applyFill="1" applyBorder="1"/>
    <xf numFmtId="0" fontId="0" fillId="0" borderId="5" xfId="0" applyBorder="1" applyProtection="1">
      <protection locked="0"/>
    </xf>
    <xf numFmtId="0" fontId="2" fillId="4" borderId="10" xfId="0" applyFont="1" applyFill="1" applyBorder="1" applyAlignment="1">
      <alignment wrapText="1"/>
    </xf>
    <xf numFmtId="0" fontId="2" fillId="4" borderId="11" xfId="0" applyFont="1" applyFill="1" applyBorder="1"/>
    <xf numFmtId="0" fontId="2" fillId="4" borderId="12" xfId="0" applyFont="1" applyFill="1" applyBorder="1"/>
    <xf numFmtId="0" fontId="0" fillId="0" borderId="0" xfId="0" applyProtection="1">
      <protection locked="0"/>
    </xf>
    <xf numFmtId="9" fontId="0" fillId="0" borderId="0" xfId="0" applyNumberFormat="1" applyAlignment="1" applyProtection="1">
      <alignment horizontal="left"/>
      <protection locked="0"/>
    </xf>
    <xf numFmtId="0" fontId="3" fillId="0" borderId="0" xfId="0" applyFont="1"/>
    <xf numFmtId="0" fontId="1" fillId="0" borderId="0" xfId="0" applyFont="1"/>
    <xf numFmtId="2" fontId="0" fillId="0" borderId="0" xfId="0" applyNumberFormat="1"/>
    <xf numFmtId="0" fontId="0" fillId="0" borderId="0" xfId="0" applyFont="1"/>
    <xf numFmtId="0" fontId="5" fillId="0" borderId="0" xfId="0" applyFont="1" applyAlignment="1" applyProtection="1">
      <alignment horizontal="center" vertical="center" wrapText="1" readingOrder="1"/>
      <protection locked="0"/>
    </xf>
    <xf numFmtId="0" fontId="5" fillId="0" borderId="0" xfId="0" applyFont="1" applyAlignment="1">
      <alignment horizontal="center" vertical="center" wrapText="1" readingOrder="1"/>
    </xf>
    <xf numFmtId="0" fontId="0" fillId="0" borderId="6" xfId="0" applyBorder="1" applyProtection="1">
      <protection locked="0"/>
    </xf>
    <xf numFmtId="0" fontId="0" fillId="2" borderId="7" xfId="0" applyFill="1" applyBorder="1"/>
    <xf numFmtId="0" fontId="0" fillId="4" borderId="0" xfId="0" applyFill="1" applyProtection="1">
      <protection locked="0"/>
    </xf>
    <xf numFmtId="164" fontId="0" fillId="0" borderId="0" xfId="0" applyNumberFormat="1" applyProtection="1">
      <protection locked="0"/>
    </xf>
    <xf numFmtId="0" fontId="0" fillId="0" borderId="1" xfId="0" applyBorder="1" applyProtection="1">
      <protection locked="0"/>
    </xf>
    <xf numFmtId="0" fontId="0" fillId="0" borderId="2" xfId="0" applyBorder="1" applyProtection="1">
      <protection locked="0"/>
    </xf>
    <xf numFmtId="0" fontId="0" fillId="0" borderId="9" xfId="0" applyBorder="1" applyProtection="1">
      <protection locked="0"/>
    </xf>
    <xf numFmtId="0" fontId="0" fillId="0" borderId="13" xfId="0" applyBorder="1" applyProtection="1">
      <protection locked="0"/>
    </xf>
    <xf numFmtId="2" fontId="0" fillId="0" borderId="7" xfId="0" applyNumberFormat="1" applyBorder="1"/>
    <xf numFmtId="2" fontId="0" fillId="0" borderId="8" xfId="0" applyNumberFormat="1" applyBorder="1"/>
    <xf numFmtId="2" fontId="0" fillId="0" borderId="11" xfId="0" applyNumberFormat="1" applyBorder="1"/>
    <xf numFmtId="0" fontId="0" fillId="0" borderId="1" xfId="0" applyBorder="1"/>
    <xf numFmtId="0" fontId="0" fillId="0" borderId="2" xfId="0" applyBorder="1"/>
    <xf numFmtId="0" fontId="0" fillId="0" borderId="6" xfId="0" applyBorder="1"/>
    <xf numFmtId="0" fontId="0" fillId="0" borderId="5" xfId="0" applyBorder="1"/>
    <xf numFmtId="0" fontId="0" fillId="0" borderId="9" xfId="0" applyBorder="1"/>
    <xf numFmtId="0" fontId="0" fillId="0" borderId="13" xfId="0" applyBorder="1"/>
    <xf numFmtId="0" fontId="0" fillId="0" borderId="0" xfId="0" applyAlignment="1">
      <alignment wrapText="1"/>
    </xf>
    <xf numFmtId="0" fontId="0" fillId="2" borderId="0" xfId="0" applyFill="1" applyProtection="1">
      <protection locked="0"/>
    </xf>
    <xf numFmtId="0" fontId="0" fillId="4" borderId="4" xfId="0" applyFill="1" applyBorder="1"/>
    <xf numFmtId="0" fontId="0" fillId="4" borderId="7" xfId="0" applyFill="1" applyBorder="1"/>
    <xf numFmtId="0" fontId="0" fillId="4" borderId="8" xfId="0" applyFill="1" applyBorder="1"/>
    <xf numFmtId="2" fontId="0" fillId="0" borderId="3" xfId="0" applyNumberFormat="1" applyBorder="1"/>
    <xf numFmtId="2" fontId="0" fillId="0" borderId="2" xfId="0" applyNumberFormat="1" applyBorder="1"/>
    <xf numFmtId="2" fontId="0" fillId="0" borderId="0" xfId="0" applyNumberFormat="1" applyBorder="1"/>
    <xf numFmtId="2" fontId="0" fillId="0" borderId="5" xfId="0" applyNumberFormat="1" applyBorder="1"/>
    <xf numFmtId="2" fontId="0" fillId="0" borderId="15" xfId="0" applyNumberFormat="1" applyBorder="1"/>
    <xf numFmtId="2" fontId="0" fillId="0" borderId="13" xfId="0" applyNumberFormat="1" applyBorder="1"/>
    <xf numFmtId="0" fontId="0" fillId="5" borderId="0" xfId="0" applyFill="1" applyAlignment="1">
      <alignment wrapText="1"/>
    </xf>
    <xf numFmtId="0" fontId="0" fillId="5" borderId="0" xfId="0" applyFill="1"/>
    <xf numFmtId="0" fontId="0" fillId="6" borderId="0" xfId="0" applyFill="1"/>
    <xf numFmtId="0" fontId="2" fillId="6" borderId="10" xfId="0" applyFont="1" applyFill="1" applyBorder="1" applyAlignment="1">
      <alignment wrapText="1"/>
    </xf>
    <xf numFmtId="0" fontId="2" fillId="6" borderId="11" xfId="0" applyFont="1" applyFill="1" applyBorder="1"/>
    <xf numFmtId="0" fontId="2" fillId="6" borderId="12" xfId="0" applyFont="1" applyFill="1" applyBorder="1"/>
    <xf numFmtId="0" fontId="0" fillId="6" borderId="0" xfId="0" applyFill="1" applyBorder="1" applyAlignment="1">
      <alignment wrapText="1"/>
    </xf>
    <xf numFmtId="0" fontId="0" fillId="6" borderId="0" xfId="0" applyFill="1" applyBorder="1"/>
    <xf numFmtId="0" fontId="0" fillId="6" borderId="5" xfId="0" applyFill="1" applyBorder="1"/>
    <xf numFmtId="0" fontId="0" fillId="6" borderId="3" xfId="0" applyFill="1" applyBorder="1" applyAlignment="1">
      <alignment wrapText="1"/>
    </xf>
    <xf numFmtId="0" fontId="0" fillId="6" borderId="3" xfId="0" applyFill="1" applyBorder="1"/>
    <xf numFmtId="0" fontId="0" fillId="6" borderId="2" xfId="0" applyFill="1" applyBorder="1"/>
    <xf numFmtId="0" fontId="6" fillId="7" borderId="1" xfId="0" applyFont="1" applyFill="1" applyBorder="1" applyProtection="1">
      <protection locked="0"/>
    </xf>
    <xf numFmtId="0" fontId="6" fillId="7" borderId="3" xfId="0" applyFont="1" applyFill="1" applyBorder="1"/>
    <xf numFmtId="0" fontId="2" fillId="6" borderId="5" xfId="0" applyFont="1" applyFill="1" applyBorder="1"/>
    <xf numFmtId="0" fontId="0" fillId="0" borderId="5" xfId="0" applyFill="1" applyBorder="1"/>
    <xf numFmtId="0" fontId="0" fillId="0" borderId="5" xfId="0" applyFill="1" applyBorder="1" applyProtection="1">
      <protection locked="0"/>
    </xf>
    <xf numFmtId="0" fontId="0" fillId="0" borderId="4" xfId="0" applyFill="1" applyBorder="1" applyAlignment="1">
      <alignment horizontal="center"/>
    </xf>
    <xf numFmtId="0" fontId="0" fillId="0" borderId="7" xfId="0" applyFill="1" applyBorder="1" applyAlignment="1">
      <alignment horizontal="center"/>
    </xf>
    <xf numFmtId="2" fontId="0" fillId="0" borderId="7" xfId="0" applyNumberFormat="1" applyFill="1" applyBorder="1" applyAlignment="1">
      <alignment horizontal="center"/>
    </xf>
    <xf numFmtId="2" fontId="0" fillId="0" borderId="8" xfId="0" applyNumberFormat="1" applyFill="1" applyBorder="1" applyAlignment="1">
      <alignment horizontal="center"/>
    </xf>
    <xf numFmtId="0" fontId="9" fillId="6" borderId="8" xfId="0" applyFont="1" applyFill="1" applyBorder="1" applyAlignment="1">
      <alignment horizontal="right"/>
    </xf>
    <xf numFmtId="0" fontId="2" fillId="6" borderId="0" xfId="0" applyFont="1" applyFill="1"/>
    <xf numFmtId="0" fontId="11" fillId="6" borderId="6" xfId="0" applyFont="1" applyFill="1" applyBorder="1"/>
    <xf numFmtId="0" fontId="11" fillId="6" borderId="0" xfId="0" applyFont="1" applyFill="1" applyBorder="1" applyAlignment="1">
      <alignment horizontal="center"/>
    </xf>
    <xf numFmtId="0" fontId="11" fillId="6" borderId="0" xfId="0" applyFont="1" applyFill="1" applyBorder="1"/>
    <xf numFmtId="0" fontId="0" fillId="6" borderId="6" xfId="0" applyFill="1" applyBorder="1"/>
    <xf numFmtId="0" fontId="0" fillId="6" borderId="0" xfId="0" applyFill="1" applyBorder="1" applyAlignment="1">
      <alignment horizontal="center"/>
    </xf>
    <xf numFmtId="0" fontId="10" fillId="6" borderId="6" xfId="0" applyFont="1" applyFill="1" applyBorder="1"/>
    <xf numFmtId="0" fontId="8" fillId="6" borderId="6" xfId="0" applyFont="1" applyFill="1" applyBorder="1"/>
    <xf numFmtId="0" fontId="8" fillId="6" borderId="0" xfId="0" applyFont="1" applyFill="1" applyBorder="1" applyAlignment="1">
      <alignment horizontal="center"/>
    </xf>
    <xf numFmtId="0" fontId="8" fillId="6" borderId="5" xfId="0" applyFont="1" applyFill="1" applyBorder="1" applyAlignment="1">
      <alignment horizontal="center"/>
    </xf>
    <xf numFmtId="0" fontId="0" fillId="6" borderId="5" xfId="0" applyFill="1" applyBorder="1" applyAlignment="1">
      <alignment horizontal="center"/>
    </xf>
    <xf numFmtId="0" fontId="0" fillId="6" borderId="9" xfId="0" applyFill="1" applyBorder="1"/>
    <xf numFmtId="0" fontId="0" fillId="6" borderId="15" xfId="0" applyFill="1" applyBorder="1"/>
    <xf numFmtId="0" fontId="1" fillId="6" borderId="0" xfId="0" applyFont="1" applyFill="1" applyBorder="1" applyAlignment="1"/>
    <xf numFmtId="0" fontId="0" fillId="6" borderId="0" xfId="0" applyFill="1" applyBorder="1" applyAlignment="1" applyProtection="1">
      <alignment horizontal="center"/>
      <protection locked="0"/>
    </xf>
    <xf numFmtId="0" fontId="0" fillId="6" borderId="15" xfId="0" applyFill="1" applyBorder="1" applyAlignment="1" applyProtection="1">
      <alignment horizontal="center"/>
      <protection locked="0"/>
    </xf>
    <xf numFmtId="0" fontId="0" fillId="6" borderId="0" xfId="0" applyFill="1" applyBorder="1" applyAlignment="1" applyProtection="1">
      <alignment horizontal="left"/>
      <protection locked="0"/>
    </xf>
    <xf numFmtId="0" fontId="0" fillId="6" borderId="5" xfId="0" applyFill="1" applyBorder="1" applyAlignment="1" applyProtection="1">
      <alignment horizontal="left"/>
      <protection locked="0"/>
    </xf>
    <xf numFmtId="0" fontId="0" fillId="2" borderId="0" xfId="0" applyFill="1" applyAlignment="1">
      <alignment horizontal="center" vertical="center"/>
    </xf>
    <xf numFmtId="0" fontId="11"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pplyAlignment="1">
      <alignment vertical="center"/>
    </xf>
    <xf numFmtId="0" fontId="2" fillId="2" borderId="0" xfId="0" applyFont="1" applyFill="1" applyAlignment="1">
      <alignment vertical="center"/>
    </xf>
    <xf numFmtId="0" fontId="0" fillId="7" borderId="0" xfId="0" applyFill="1" applyAlignment="1" applyProtection="1">
      <alignment horizontal="center" vertical="center"/>
      <protection locked="0"/>
    </xf>
    <xf numFmtId="0" fontId="0" fillId="2" borderId="0" xfId="0" applyFill="1" applyAlignment="1">
      <alignment vertical="center" wrapText="1"/>
    </xf>
    <xf numFmtId="0" fontId="0" fillId="2" borderId="0" xfId="0" applyFill="1" applyAlignment="1" applyProtection="1">
      <alignment vertical="center"/>
      <protection locked="0"/>
    </xf>
    <xf numFmtId="9" fontId="0" fillId="2" borderId="0" xfId="0" applyNumberFormat="1" applyFill="1" applyAlignment="1" applyProtection="1">
      <alignment horizontal="left" vertical="center"/>
      <protection locked="0"/>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0" fillId="8" borderId="0"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13" fillId="2" borderId="0" xfId="0" applyFont="1" applyFill="1" applyAlignment="1">
      <alignment vertical="center" wrapText="1"/>
    </xf>
    <xf numFmtId="0" fontId="13" fillId="2" borderId="0" xfId="0" applyFont="1" applyFill="1" applyAlignment="1">
      <alignment wrapText="1"/>
    </xf>
    <xf numFmtId="0" fontId="14" fillId="2" borderId="0" xfId="0" applyFont="1" applyFill="1" applyAlignment="1">
      <alignment vertical="center" wrapText="1"/>
    </xf>
    <xf numFmtId="2" fontId="2" fillId="5" borderId="14" xfId="0" applyNumberFormat="1" applyFont="1" applyFill="1" applyBorder="1" applyAlignment="1">
      <alignment horizontal="center"/>
    </xf>
    <xf numFmtId="0" fontId="0" fillId="2" borderId="2" xfId="0" applyFill="1" applyBorder="1" applyAlignment="1">
      <alignment horizontal="center"/>
    </xf>
    <xf numFmtId="0" fontId="0" fillId="2" borderId="6" xfId="0" applyFill="1" applyBorder="1"/>
    <xf numFmtId="2" fontId="2" fillId="7" borderId="0" xfId="0" applyNumberFormat="1" applyFont="1" applyFill="1" applyBorder="1" applyAlignment="1">
      <alignment horizontal="center"/>
    </xf>
    <xf numFmtId="0" fontId="0" fillId="2" borderId="5" xfId="0" applyFill="1" applyBorder="1" applyAlignment="1">
      <alignment horizontal="center"/>
    </xf>
    <xf numFmtId="0" fontId="8" fillId="2" borderId="9" xfId="0" applyFont="1" applyFill="1" applyBorder="1"/>
    <xf numFmtId="0" fontId="0" fillId="2" borderId="13" xfId="0" applyFill="1" applyBorder="1" applyAlignment="1">
      <alignment horizontal="center"/>
    </xf>
    <xf numFmtId="2" fontId="12" fillId="5" borderId="14" xfId="0" applyNumberFormat="1" applyFont="1" applyFill="1" applyBorder="1" applyAlignment="1">
      <alignment horizontal="center"/>
    </xf>
    <xf numFmtId="0" fontId="17" fillId="6" borderId="1" xfId="0" applyFont="1" applyFill="1" applyBorder="1"/>
    <xf numFmtId="2" fontId="2" fillId="5" borderId="9" xfId="0" applyNumberFormat="1" applyFont="1" applyFill="1" applyBorder="1" applyAlignment="1">
      <alignment horizontal="center"/>
    </xf>
    <xf numFmtId="0" fontId="26" fillId="2" borderId="0" xfId="0" applyFont="1" applyFill="1" applyAlignment="1">
      <alignment vertical="center"/>
    </xf>
    <xf numFmtId="0" fontId="27" fillId="6" borderId="0" xfId="0" applyFont="1" applyFill="1"/>
    <xf numFmtId="0" fontId="21" fillId="6" borderId="0" xfId="0" applyFont="1" applyFill="1"/>
    <xf numFmtId="0" fontId="23" fillId="6" borderId="0" xfId="0" applyFont="1" applyFill="1" applyBorder="1"/>
    <xf numFmtId="0" fontId="23" fillId="6" borderId="13" xfId="0" applyFont="1" applyFill="1" applyBorder="1" applyAlignment="1">
      <alignment horizontal="right"/>
    </xf>
    <xf numFmtId="0" fontId="20" fillId="4" borderId="0" xfId="0" applyFont="1" applyFill="1"/>
    <xf numFmtId="0" fontId="22" fillId="4" borderId="0" xfId="0" applyFont="1" applyFill="1"/>
    <xf numFmtId="0" fontId="21" fillId="4" borderId="0" xfId="0" applyFont="1" applyFill="1"/>
    <xf numFmtId="0" fontId="21" fillId="4" borderId="0" xfId="0" applyFont="1" applyFill="1" applyBorder="1" applyProtection="1">
      <protection locked="0"/>
    </xf>
    <xf numFmtId="0" fontId="24" fillId="4" borderId="0" xfId="0" applyFont="1" applyFill="1"/>
    <xf numFmtId="0" fontId="7" fillId="4" borderId="0" xfId="0" applyFont="1" applyFill="1"/>
    <xf numFmtId="0" fontId="25" fillId="4" borderId="0" xfId="0" applyFont="1" applyFill="1"/>
    <xf numFmtId="0" fontId="26" fillId="4" borderId="0" xfId="0" applyFont="1" applyFill="1"/>
    <xf numFmtId="0" fontId="11" fillId="2" borderId="0" xfId="0" applyFont="1" applyFill="1" applyAlignment="1">
      <alignment horizontal="left" vertical="center"/>
    </xf>
    <xf numFmtId="0" fontId="11" fillId="2" borderId="1" xfId="0" applyFont="1" applyFill="1" applyBorder="1" applyAlignment="1">
      <alignment horizontal="left"/>
    </xf>
    <xf numFmtId="0" fontId="11" fillId="2" borderId="3" xfId="0" applyFont="1" applyFill="1" applyBorder="1" applyAlignment="1">
      <alignment horizontal="left"/>
    </xf>
    <xf numFmtId="0" fontId="21" fillId="6" borderId="0" xfId="0" applyFont="1" applyFill="1" applyAlignment="1">
      <alignment horizontal="center"/>
    </xf>
    <xf numFmtId="0" fontId="18" fillId="7" borderId="3" xfId="0" applyFont="1" applyFill="1" applyBorder="1" applyAlignment="1">
      <alignment horizontal="left"/>
    </xf>
    <xf numFmtId="0" fontId="18" fillId="7" borderId="2" xfId="0" applyFont="1" applyFill="1" applyBorder="1" applyAlignment="1">
      <alignment horizontal="left"/>
    </xf>
    <xf numFmtId="0" fontId="0" fillId="6" borderId="0" xfId="0" applyFill="1" applyBorder="1" applyAlignment="1">
      <alignment horizontal="left"/>
    </xf>
    <xf numFmtId="0" fontId="0" fillId="6" borderId="5" xfId="0" applyFill="1" applyBorder="1" applyAlignment="1">
      <alignment horizontal="left"/>
    </xf>
    <xf numFmtId="0" fontId="0" fillId="6" borderId="0" xfId="0" applyFill="1" applyBorder="1" applyAlignment="1" applyProtection="1">
      <alignment horizontal="left"/>
      <protection locked="0"/>
    </xf>
    <xf numFmtId="0" fontId="0" fillId="6" borderId="5" xfId="0" applyFill="1" applyBorder="1" applyAlignment="1" applyProtection="1">
      <alignment horizontal="left"/>
      <protection locked="0"/>
    </xf>
    <xf numFmtId="0" fontId="1" fillId="6" borderId="0" xfId="0" applyFont="1" applyFill="1" applyBorder="1" applyAlignment="1">
      <alignment horizontal="center"/>
    </xf>
    <xf numFmtId="0" fontId="1" fillId="6" borderId="3" xfId="0" applyFont="1" applyFill="1" applyBorder="1" applyAlignment="1">
      <alignment horizontal="center"/>
    </xf>
    <xf numFmtId="0" fontId="6" fillId="7" borderId="1" xfId="0" applyFont="1" applyFill="1" applyBorder="1" applyAlignment="1">
      <alignment horizontal="left"/>
    </xf>
    <xf numFmtId="0" fontId="6" fillId="7" borderId="12" xfId="0" applyFont="1" applyFill="1" applyBorder="1" applyAlignment="1">
      <alignment horizontal="left"/>
    </xf>
    <xf numFmtId="0" fontId="2" fillId="6" borderId="6"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protection locked="0"/>
    </xf>
    <xf numFmtId="0" fontId="2" fillId="6" borderId="9" xfId="0" applyFont="1" applyFill="1" applyBorder="1" applyAlignment="1" applyProtection="1">
      <alignment horizontal="left" vertical="top"/>
      <protection locked="0"/>
    </xf>
    <xf numFmtId="0" fontId="2" fillId="6" borderId="1"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4" borderId="1" xfId="0" applyFont="1" applyFill="1" applyBorder="1" applyAlignment="1" applyProtection="1">
      <alignment horizontal="left" vertical="top" wrapText="1"/>
      <protection locked="0"/>
    </xf>
    <xf numFmtId="0" fontId="2" fillId="0" borderId="0" xfId="0" applyFont="1" applyAlignment="1">
      <alignment horizontal="center"/>
    </xf>
  </cellXfs>
  <cellStyles count="1">
    <cellStyle name="Normal" xfId="0" builtinId="0"/>
  </cellStyles>
  <dxfs count="10">
    <dxf>
      <fill>
        <patternFill patternType="darkUp">
          <fgColor rgb="FFFF0000"/>
        </patternFill>
      </fill>
    </dxf>
    <dxf>
      <fill>
        <patternFill patternType="darkUp">
          <fgColor rgb="FFFF0000"/>
        </patternFill>
      </fill>
    </dxf>
    <dxf>
      <fill>
        <patternFill patternType="darkUp">
          <fgColor rgb="FFFF0000"/>
        </patternFill>
      </fill>
    </dxf>
    <dxf>
      <fill>
        <patternFill patternType="darkUp">
          <fgColor rgb="FFFF0000"/>
        </patternFill>
      </fill>
    </dxf>
    <dxf>
      <fill>
        <patternFill patternType="darkUp">
          <fgColor rgb="FFFF0000"/>
        </patternFill>
      </fill>
    </dxf>
    <dxf>
      <fill>
        <patternFill patternType="darkUp">
          <fgColor rgb="FFFF0000"/>
          <bgColor auto="1"/>
        </patternFill>
      </fill>
    </dxf>
    <dxf>
      <fill>
        <patternFill patternType="darkUp">
          <fgColor rgb="FFFF0000"/>
        </patternFill>
      </fill>
    </dxf>
    <dxf>
      <fill>
        <patternFill patternType="darkUp">
          <fgColor rgb="FFFF0000"/>
        </patternFill>
      </fill>
    </dxf>
    <dxf>
      <fill>
        <patternFill patternType="darkUp">
          <fgColor rgb="FFFF0000"/>
        </patternFill>
      </fill>
    </dxf>
    <dxf>
      <fill>
        <patternFill patternType="darkUp">
          <fgColor rgb="FFFF0000"/>
        </patternFill>
      </fill>
    </dxf>
  </dxfs>
  <tableStyles count="0" defaultTableStyle="TableStyleMedium2" defaultPivotStyle="PivotStyleLight16"/>
  <colors>
    <mruColors>
      <color rgb="FF53565A"/>
      <color rgb="FF00B2A9"/>
      <color rgb="FFCEDC00"/>
      <color rgb="FFE1EEF9"/>
      <color rgb="FFF0F7FC"/>
      <color rgb="FF24BABD"/>
      <color rgb="FFF47721"/>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6</xdr:col>
      <xdr:colOff>352425</xdr:colOff>
      <xdr:row>1</xdr:row>
      <xdr:rowOff>76200</xdr:rowOff>
    </xdr:from>
    <xdr:to>
      <xdr:col>11</xdr:col>
      <xdr:colOff>458788</xdr:colOff>
      <xdr:row>6</xdr:row>
      <xdr:rowOff>141288</xdr:rowOff>
    </xdr:to>
    <xdr:pic>
      <xdr:nvPicPr>
        <xdr:cNvPr id="3" name="Picture 2" descr="Diagram, text&#10;&#10;Description automatically generated with medium confidence">
          <a:extLst>
            <a:ext uri="{FF2B5EF4-FFF2-40B4-BE49-F238E27FC236}">
              <a16:creationId xmlns:a16="http://schemas.microsoft.com/office/drawing/2014/main" id="{DA0FF16B-E556-4236-8DF3-966D20AB2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00775" y="257175"/>
          <a:ext cx="3154363" cy="1027113"/>
        </a:xfrm>
        <a:prstGeom prst="rect">
          <a:avLst/>
        </a:prstGeom>
        <a:solidFill>
          <a:srgbClr val="FFFFFF">
            <a:shade val="85000"/>
          </a:srgbClr>
        </a:solidFill>
        <a:ln w="3175" cap="sq">
          <a:solidFill>
            <a:srgbClr val="53565A"/>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3101975</xdr:colOff>
      <xdr:row>41</xdr:row>
      <xdr:rowOff>38101</xdr:rowOff>
    </xdr:from>
    <xdr:to>
      <xdr:col>4</xdr:col>
      <xdr:colOff>326731</xdr:colOff>
      <xdr:row>67</xdr:row>
      <xdr:rowOff>149453</xdr:rowOff>
    </xdr:to>
    <xdr:pic>
      <xdr:nvPicPr>
        <xdr:cNvPr id="4" name="Picture 3">
          <a:extLst>
            <a:ext uri="{FF2B5EF4-FFF2-40B4-BE49-F238E27FC236}">
              <a16:creationId xmlns:a16="http://schemas.microsoft.com/office/drawing/2014/main" id="{34ED14EC-BDFC-4C63-813A-50AE8036C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1575" y="7572376"/>
          <a:ext cx="8616656" cy="4816702"/>
        </a:xfrm>
        <a:prstGeom prst="rect">
          <a:avLst/>
        </a:prstGeom>
        <a:ln>
          <a:solidFill>
            <a:schemeClr val="tx1"/>
          </a:solidFill>
        </a:ln>
        <a:effectLst>
          <a:outerShdw blurRad="292100" dist="139700" dir="2700000" algn="tl" rotWithShape="0">
            <a:srgbClr val="333333">
              <a:alpha val="65000"/>
            </a:srgbClr>
          </a:outerShdw>
        </a:effectLst>
      </xdr:spPr>
    </xdr:pic>
    <xdr:clientData/>
  </xdr:twoCellAnchor>
  <xdr:twoCellAnchor editAs="oneCell">
    <xdr:from>
      <xdr:col>1</xdr:col>
      <xdr:colOff>3095625</xdr:colOff>
      <xdr:row>17</xdr:row>
      <xdr:rowOff>152400</xdr:rowOff>
    </xdr:from>
    <xdr:to>
      <xdr:col>4</xdr:col>
      <xdr:colOff>163485</xdr:colOff>
      <xdr:row>31</xdr:row>
      <xdr:rowOff>149225</xdr:rowOff>
    </xdr:to>
    <xdr:pic>
      <xdr:nvPicPr>
        <xdr:cNvPr id="8" name="Picture 7">
          <a:extLst>
            <a:ext uri="{FF2B5EF4-FFF2-40B4-BE49-F238E27FC236}">
              <a16:creationId xmlns:a16="http://schemas.microsoft.com/office/drawing/2014/main" id="{1D7249D8-B1E6-4906-8EBB-4D3A441773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05225" y="3286125"/>
          <a:ext cx="8459760" cy="253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vicroads.sharepoint.com/sites/RoadStandardsandSpecificationSubcommittee/Shared%20Documents/General/RSSS%20Standards%20Change%20Proposals%20(SCPs)/3.%20SCP%20AUTHORISED-%20STANDARD%20IN%20DEVELOPMENT/RTE008%20-%20DTP%20supplement%20to%20AGRD%2006/To%20be%20published/Risk%20Score%20Calculator%20(v0.1).xlsx?8CA378CF" TargetMode="External"/><Relationship Id="rId1" Type="http://schemas.openxmlformats.org/officeDocument/2006/relationships/externalLinkPath" Target="file:///\\8CA378CF\Risk%20Score%20Calculator%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core Calculator"/>
      <sheetName val="Print Sheet"/>
      <sheetName val="Sheet4"/>
      <sheetName val="Exposure"/>
      <sheetName val="Likelihood"/>
      <sheetName val="Trauma Index"/>
    </sheetNames>
    <sheetDataSet>
      <sheetData sheetId="0">
        <row r="2">
          <cell r="J2">
            <v>1</v>
          </cell>
          <cell r="K2">
            <v>2</v>
          </cell>
          <cell r="M2" t="str">
            <v>≤1000 AADT</v>
          </cell>
          <cell r="N2" t="str">
            <v>≤1000 AADT</v>
          </cell>
          <cell r="R2" t="str">
            <v>Straight</v>
          </cell>
          <cell r="S2" t="str">
            <v>Straight</v>
          </cell>
        </row>
        <row r="3">
          <cell r="J3" t="str">
            <v>≥2</v>
          </cell>
          <cell r="K3" t="str">
            <v>≥3</v>
          </cell>
          <cell r="M3" t="str">
            <v>1000-2000 AADT</v>
          </cell>
          <cell r="N3" t="str">
            <v>1000-2000 AADT</v>
          </cell>
          <cell r="R3" t="str">
            <v>1000m R</v>
          </cell>
          <cell r="S3" t="str">
            <v>1200m R</v>
          </cell>
        </row>
        <row r="4">
          <cell r="M4" t="str">
            <v>2000-3000 AADT</v>
          </cell>
          <cell r="N4" t="str">
            <v>2000-3000 AADT</v>
          </cell>
          <cell r="R4" t="str">
            <v>900m R</v>
          </cell>
          <cell r="S4" t="str">
            <v>1100m R</v>
          </cell>
        </row>
        <row r="5">
          <cell r="M5" t="str">
            <v>3000-4000 AADT</v>
          </cell>
          <cell r="N5" t="str">
            <v>3000-4000 AADT</v>
          </cell>
          <cell r="R5" t="str">
            <v>800m R</v>
          </cell>
          <cell r="S5" t="str">
            <v>1000m R</v>
          </cell>
        </row>
        <row r="6">
          <cell r="M6" t="str">
            <v>4000-11,500 AADT</v>
          </cell>
          <cell r="N6" t="str">
            <v>4000-5000 AADT</v>
          </cell>
          <cell r="R6" t="str">
            <v>700m R</v>
          </cell>
          <cell r="S6" t="str">
            <v>900m R</v>
          </cell>
        </row>
        <row r="7">
          <cell r="M7" t="str">
            <v>11,500-12,000 AADT</v>
          </cell>
          <cell r="N7" t="str">
            <v>5000-6000 AADT</v>
          </cell>
          <cell r="R7" t="str">
            <v>600m R</v>
          </cell>
          <cell r="S7" t="str">
            <v>800m R</v>
          </cell>
        </row>
        <row r="8">
          <cell r="M8" t="str">
            <v>12,000-13,000 AADT</v>
          </cell>
          <cell r="N8" t="str">
            <v>6000-7000 AADT</v>
          </cell>
          <cell r="R8" t="str">
            <v>500m R</v>
          </cell>
          <cell r="S8" t="str">
            <v>700m R</v>
          </cell>
        </row>
        <row r="9">
          <cell r="M9" t="str">
            <v>13,000-14,000 AADT</v>
          </cell>
          <cell r="N9" t="str">
            <v>7000-8000 AADT</v>
          </cell>
          <cell r="R9" t="str">
            <v>450m R</v>
          </cell>
          <cell r="S9" t="str">
            <v>600m R</v>
          </cell>
        </row>
        <row r="10">
          <cell r="M10" t="str">
            <v>14,000-15,000 AADT</v>
          </cell>
          <cell r="N10" t="str">
            <v>8000-9000 AADT</v>
          </cell>
          <cell r="R10" t="str">
            <v>400m R</v>
          </cell>
          <cell r="S10" t="str">
            <v>500m R</v>
          </cell>
        </row>
        <row r="11">
          <cell r="M11" t="str">
            <v>15,000-16,000 AADT</v>
          </cell>
          <cell r="N11" t="str">
            <v>9000-10,000 AADT</v>
          </cell>
          <cell r="R11" t="str">
            <v>300m R</v>
          </cell>
          <cell r="S11" t="str">
            <v>450m R</v>
          </cell>
        </row>
        <row r="12">
          <cell r="M12" t="str">
            <v>16,000-17,000 AADT</v>
          </cell>
          <cell r="N12" t="str">
            <v>10,000-11,500 AADT</v>
          </cell>
          <cell r="R12" t="str">
            <v>200m R</v>
          </cell>
          <cell r="S12" t="str">
            <v>400m R</v>
          </cell>
        </row>
        <row r="13">
          <cell r="M13" t="str">
            <v>17,000-18,000 AADT</v>
          </cell>
          <cell r="N13" t="str">
            <v>11,500-23,000 AADT</v>
          </cell>
          <cell r="R13" t="str">
            <v>≤150m R</v>
          </cell>
          <cell r="S13" t="str">
            <v>≤300m R</v>
          </cell>
        </row>
        <row r="14">
          <cell r="M14" t="str">
            <v>18,000-19,000 AADT</v>
          </cell>
          <cell r="N14" t="str">
            <v>23,000-24,000 AADT</v>
          </cell>
        </row>
        <row r="15">
          <cell r="M15" t="str">
            <v>19,000-20,000 AADT</v>
          </cell>
          <cell r="N15" t="str">
            <v>24,000-25,000 AADT</v>
          </cell>
        </row>
        <row r="16">
          <cell r="M16" t="str">
            <v>&gt;20,000 AADT</v>
          </cell>
          <cell r="N16" t="str">
            <v>25,000-26,000 AADT</v>
          </cell>
        </row>
        <row r="17">
          <cell r="N17" t="str">
            <v>26,000-27,000 AADT</v>
          </cell>
        </row>
        <row r="18">
          <cell r="N18" t="str">
            <v>27,000-28,000 AADT</v>
          </cell>
        </row>
        <row r="19">
          <cell r="N19" t="str">
            <v>28,000-29,000 AADT</v>
          </cell>
        </row>
        <row r="20">
          <cell r="N20" t="str">
            <v>29,000-30,000 AADT</v>
          </cell>
        </row>
        <row r="21">
          <cell r="N21" t="str">
            <v>30,000-31,000 AADT</v>
          </cell>
        </row>
        <row r="22">
          <cell r="N22" t="str">
            <v>31,000-32,000 AADT</v>
          </cell>
        </row>
        <row r="23">
          <cell r="N23" t="str">
            <v>32,000-33,000 AADT</v>
          </cell>
        </row>
        <row r="24">
          <cell r="N24" t="str">
            <v>33,000-34,000 AADT</v>
          </cell>
        </row>
        <row r="25">
          <cell r="N25" t="str">
            <v>34,000-35,000 AADT</v>
          </cell>
        </row>
        <row r="26">
          <cell r="N26" t="str">
            <v>35,000-36,000 AADT</v>
          </cell>
        </row>
        <row r="27">
          <cell r="N27" t="str">
            <v>36,000-37,000 AADT</v>
          </cell>
        </row>
        <row r="28">
          <cell r="N28" t="str">
            <v>37,000-38,000 AADT</v>
          </cell>
        </row>
        <row r="29">
          <cell r="N29" t="str">
            <v>38,000-39,000 AADT</v>
          </cell>
        </row>
        <row r="30">
          <cell r="N30" t="str">
            <v>39,000-40,000 AADT</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B713-4E0E-41F7-B1B6-21AC40C7F5C2}">
  <dimension ref="B2:C34"/>
  <sheetViews>
    <sheetView tabSelected="1" workbookViewId="0">
      <selection activeCell="C7" sqref="C7"/>
    </sheetView>
  </sheetViews>
  <sheetFormatPr defaultColWidth="8.7109375" defaultRowHeight="15" x14ac:dyDescent="0.25"/>
  <cols>
    <col min="1" max="1" width="8.7109375" style="14"/>
    <col min="2" max="2" width="15.85546875" style="14" customWidth="1"/>
    <col min="3" max="3" width="32.85546875" style="14" customWidth="1"/>
    <col min="4" max="16384" width="8.7109375" style="14"/>
  </cols>
  <sheetData>
    <row r="2" spans="2:3" ht="18.75" x14ac:dyDescent="0.3">
      <c r="B2" s="128" t="s">
        <v>553</v>
      </c>
    </row>
    <row r="4" spans="2:3" x14ac:dyDescent="0.25">
      <c r="B4" s="129" t="s">
        <v>426</v>
      </c>
    </row>
    <row r="5" spans="2:3" x14ac:dyDescent="0.25">
      <c r="B5" s="130" t="s">
        <v>439</v>
      </c>
    </row>
    <row r="6" spans="2:3" x14ac:dyDescent="0.25">
      <c r="B6" s="130" t="s">
        <v>427</v>
      </c>
      <c r="C6" s="131" t="s">
        <v>509</v>
      </c>
    </row>
    <row r="7" spans="2:3" x14ac:dyDescent="0.25">
      <c r="B7" s="130" t="s">
        <v>428</v>
      </c>
      <c r="C7" s="131" t="s">
        <v>510</v>
      </c>
    </row>
    <row r="8" spans="2:3" x14ac:dyDescent="0.25">
      <c r="B8" s="130" t="s">
        <v>429</v>
      </c>
      <c r="C8" s="131" t="s">
        <v>511</v>
      </c>
    </row>
    <row r="9" spans="2:3" x14ac:dyDescent="0.25">
      <c r="B9" s="132" t="s">
        <v>442</v>
      </c>
    </row>
    <row r="10" spans="2:3" x14ac:dyDescent="0.25">
      <c r="B10" s="132" t="s">
        <v>447</v>
      </c>
    </row>
    <row r="11" spans="2:3" x14ac:dyDescent="0.25">
      <c r="B11" s="132" t="s">
        <v>430</v>
      </c>
    </row>
    <row r="13" spans="2:3" x14ac:dyDescent="0.25">
      <c r="B13" s="130" t="s">
        <v>431</v>
      </c>
    </row>
    <row r="14" spans="2:3" x14ac:dyDescent="0.25">
      <c r="B14" s="132" t="s">
        <v>517</v>
      </c>
    </row>
    <row r="15" spans="2:3" x14ac:dyDescent="0.25">
      <c r="B15" s="132" t="s">
        <v>523</v>
      </c>
    </row>
    <row r="16" spans="2:3" x14ac:dyDescent="0.25">
      <c r="B16" s="132" t="s">
        <v>518</v>
      </c>
    </row>
    <row r="17" spans="2:2" x14ac:dyDescent="0.25">
      <c r="B17" s="132" t="s">
        <v>519</v>
      </c>
    </row>
    <row r="19" spans="2:2" x14ac:dyDescent="0.25">
      <c r="B19" s="130" t="s">
        <v>477</v>
      </c>
    </row>
    <row r="20" spans="2:2" x14ac:dyDescent="0.25">
      <c r="B20" s="132" t="s">
        <v>520</v>
      </c>
    </row>
    <row r="21" spans="2:2" x14ac:dyDescent="0.25">
      <c r="B21" s="133"/>
    </row>
    <row r="22" spans="2:2" x14ac:dyDescent="0.25">
      <c r="B22" s="130" t="s">
        <v>476</v>
      </c>
    </row>
    <row r="23" spans="2:2" x14ac:dyDescent="0.25">
      <c r="B23" s="132" t="s">
        <v>521</v>
      </c>
    </row>
    <row r="24" spans="2:2" x14ac:dyDescent="0.25">
      <c r="B24" s="132" t="s">
        <v>522</v>
      </c>
    </row>
    <row r="25" spans="2:2" x14ac:dyDescent="0.25">
      <c r="B25" s="134"/>
    </row>
    <row r="26" spans="2:2" x14ac:dyDescent="0.25">
      <c r="B26" s="135" t="s">
        <v>543</v>
      </c>
    </row>
    <row r="27" spans="2:2" x14ac:dyDescent="0.25">
      <c r="B27" s="134" t="s">
        <v>549</v>
      </c>
    </row>
    <row r="28" spans="2:2" x14ac:dyDescent="0.25">
      <c r="B28" s="134" t="s">
        <v>538</v>
      </c>
    </row>
    <row r="29" spans="2:2" x14ac:dyDescent="0.25">
      <c r="B29" s="134" t="s">
        <v>546</v>
      </c>
    </row>
    <row r="30" spans="2:2" x14ac:dyDescent="0.25">
      <c r="B30" s="134" t="s">
        <v>539</v>
      </c>
    </row>
    <row r="31" spans="2:2" x14ac:dyDescent="0.25">
      <c r="B31" s="134" t="s">
        <v>540</v>
      </c>
    </row>
    <row r="32" spans="2:2" x14ac:dyDescent="0.25">
      <c r="B32" s="134" t="s">
        <v>541</v>
      </c>
    </row>
    <row r="33" spans="2:2" x14ac:dyDescent="0.25">
      <c r="B33" s="134" t="s">
        <v>542</v>
      </c>
    </row>
    <row r="34" spans="2:2" x14ac:dyDescent="0.25">
      <c r="B34" s="134" t="s">
        <v>547</v>
      </c>
    </row>
  </sheetData>
  <sheetProtection algorithmName="SHA-512" hashValue="8T22/vrIrdpKI1yyuWy6sNCGGPkQyURP2ZCYreCNcmKv0d4I+fPPHggU15Igqpucnjm5CXKjvNZKDajlDYteTQ==" saltValue="6P3ewlFTdyQt1GC6HaZCLg==" spinCount="100000" sheet="1" formatCells="0"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C8FF-8747-40A1-84B0-5DB426C5D7B1}">
  <dimension ref="A1:U54"/>
  <sheetViews>
    <sheetView topLeftCell="A3" workbookViewId="0">
      <pane ySplit="9405" topLeftCell="A27"/>
      <selection activeCell="C9" sqref="C9"/>
      <selection pane="bottomLeft" activeCell="C53" sqref="C53"/>
    </sheetView>
  </sheetViews>
  <sheetFormatPr defaultColWidth="8.7109375" defaultRowHeight="15" x14ac:dyDescent="0.25"/>
  <cols>
    <col min="1" max="1" width="6.5703125" style="2" customWidth="1"/>
    <col min="2" max="2" width="89.5703125" style="1" customWidth="1"/>
    <col min="3" max="3" width="52.85546875" style="2" customWidth="1"/>
    <col min="4" max="4" width="13.140625" style="2" customWidth="1"/>
    <col min="5" max="5" width="80.85546875" style="3" customWidth="1"/>
    <col min="6" max="6" width="8.7109375" style="1"/>
    <col min="7" max="7" width="15.140625" style="1" hidden="1" customWidth="1"/>
    <col min="8" max="8" width="11.5703125" style="1" hidden="1" customWidth="1"/>
    <col min="9" max="9" width="8.7109375" style="1" hidden="1" customWidth="1"/>
    <col min="10" max="10" width="10" style="1" hidden="1" customWidth="1"/>
    <col min="11" max="11" width="10.28515625" style="1" hidden="1" customWidth="1"/>
    <col min="12" max="12" width="15.140625" style="1" hidden="1" customWidth="1"/>
    <col min="13" max="14" width="8.7109375" style="1" hidden="1" customWidth="1"/>
    <col min="15" max="15" width="39.5703125" style="1" hidden="1" customWidth="1"/>
    <col min="16" max="18" width="8.7109375" style="1" hidden="1" customWidth="1"/>
    <col min="19" max="19" width="15.140625" style="1" hidden="1" customWidth="1"/>
    <col min="20" max="20" width="17.7109375" style="1" hidden="1" customWidth="1"/>
    <col min="21" max="21" width="8.7109375" style="1" hidden="1" customWidth="1"/>
    <col min="22" max="22" width="8.7109375" style="1" customWidth="1"/>
    <col min="23" max="16384" width="8.7109375" style="1"/>
  </cols>
  <sheetData>
    <row r="1" spans="1:21" s="100" customFormat="1" ht="27" customHeight="1" x14ac:dyDescent="0.25">
      <c r="A1" s="97"/>
      <c r="B1" s="123" t="s">
        <v>423</v>
      </c>
      <c r="C1" s="98" t="s">
        <v>424</v>
      </c>
      <c r="D1" s="107" t="s">
        <v>514</v>
      </c>
      <c r="E1" s="99" t="s">
        <v>425</v>
      </c>
      <c r="G1" s="101" t="s">
        <v>150</v>
      </c>
      <c r="H1" s="101" t="s">
        <v>151</v>
      </c>
      <c r="I1" s="101" t="s">
        <v>152</v>
      </c>
      <c r="J1" s="101" t="s">
        <v>153</v>
      </c>
      <c r="K1" s="101" t="s">
        <v>5</v>
      </c>
      <c r="L1" s="101" t="s">
        <v>154</v>
      </c>
      <c r="M1" s="101" t="s">
        <v>165</v>
      </c>
      <c r="N1" s="101" t="s">
        <v>166</v>
      </c>
      <c r="O1" s="101" t="s">
        <v>167</v>
      </c>
      <c r="P1" s="101" t="s">
        <v>168</v>
      </c>
      <c r="Q1" s="101" t="s">
        <v>169</v>
      </c>
      <c r="R1" s="101" t="s">
        <v>170</v>
      </c>
      <c r="S1" s="101" t="s">
        <v>171</v>
      </c>
      <c r="T1" s="101" t="s">
        <v>173</v>
      </c>
      <c r="U1" s="101" t="s">
        <v>174</v>
      </c>
    </row>
    <row r="2" spans="1:21" s="100" customFormat="1" ht="21.95" customHeight="1" x14ac:dyDescent="0.25">
      <c r="A2" s="97" t="s">
        <v>487</v>
      </c>
      <c r="B2" s="103" t="s">
        <v>512</v>
      </c>
      <c r="C2" s="102" t="s">
        <v>0</v>
      </c>
      <c r="D2" s="97" t="s">
        <v>45</v>
      </c>
      <c r="E2" s="112" t="s">
        <v>525</v>
      </c>
      <c r="G2" s="104" t="s">
        <v>0</v>
      </c>
      <c r="H2" s="104" t="s">
        <v>1</v>
      </c>
      <c r="I2" s="100" t="s">
        <v>3</v>
      </c>
      <c r="J2" s="100">
        <v>1</v>
      </c>
      <c r="K2" s="100">
        <v>2</v>
      </c>
      <c r="L2" s="100">
        <v>2.7</v>
      </c>
      <c r="M2" s="100">
        <v>100</v>
      </c>
      <c r="N2" s="100" t="s">
        <v>13</v>
      </c>
      <c r="O2" s="104" t="s">
        <v>450</v>
      </c>
      <c r="P2" s="104" t="s">
        <v>175</v>
      </c>
      <c r="Q2" s="104" t="s">
        <v>175</v>
      </c>
      <c r="R2" s="100" t="s">
        <v>175</v>
      </c>
      <c r="S2" s="104" t="s">
        <v>19</v>
      </c>
      <c r="T2" s="104" t="s">
        <v>177</v>
      </c>
      <c r="U2" s="100">
        <v>25</v>
      </c>
    </row>
    <row r="3" spans="1:21" s="100" customFormat="1" ht="21.95" customHeight="1" x14ac:dyDescent="0.25">
      <c r="A3" s="97" t="s">
        <v>488</v>
      </c>
      <c r="B3" s="103" t="s">
        <v>513</v>
      </c>
      <c r="C3" s="102" t="s">
        <v>1</v>
      </c>
      <c r="D3" s="97" t="s">
        <v>48</v>
      </c>
      <c r="E3" s="112" t="s">
        <v>434</v>
      </c>
      <c r="G3" s="104" t="s">
        <v>155</v>
      </c>
      <c r="H3" s="104" t="s">
        <v>156</v>
      </c>
      <c r="I3" s="100" t="s">
        <v>157</v>
      </c>
      <c r="J3" s="100" t="s">
        <v>158</v>
      </c>
      <c r="K3" s="100" t="s">
        <v>159</v>
      </c>
      <c r="L3" s="100">
        <v>3</v>
      </c>
      <c r="M3" s="100">
        <v>150</v>
      </c>
      <c r="N3" s="100" t="s">
        <v>178</v>
      </c>
      <c r="O3" s="100" t="s">
        <v>0</v>
      </c>
      <c r="P3" s="104" t="s">
        <v>179</v>
      </c>
      <c r="Q3" s="104" t="s">
        <v>180</v>
      </c>
      <c r="R3" s="104" t="s">
        <v>18</v>
      </c>
      <c r="S3" s="100" t="s">
        <v>182</v>
      </c>
      <c r="T3" s="104" t="s">
        <v>183</v>
      </c>
      <c r="U3" s="100">
        <v>40</v>
      </c>
    </row>
    <row r="4" spans="1:21" s="100" customFormat="1" ht="21.95" customHeight="1" x14ac:dyDescent="0.25">
      <c r="A4" s="97" t="s">
        <v>489</v>
      </c>
      <c r="B4" s="103" t="s">
        <v>2</v>
      </c>
      <c r="C4" s="102" t="s">
        <v>3</v>
      </c>
      <c r="D4" s="97" t="s">
        <v>50</v>
      </c>
      <c r="E4" s="112" t="s">
        <v>440</v>
      </c>
      <c r="G4" s="104" t="s">
        <v>160</v>
      </c>
      <c r="H4" s="104"/>
      <c r="I4" s="100" t="s">
        <v>161</v>
      </c>
      <c r="L4" s="100">
        <v>3.3</v>
      </c>
      <c r="M4" s="100">
        <v>200</v>
      </c>
      <c r="O4" s="100" t="s">
        <v>451</v>
      </c>
      <c r="P4" s="104" t="s">
        <v>16</v>
      </c>
      <c r="Q4" s="104" t="s">
        <v>184</v>
      </c>
      <c r="R4" s="100" t="s">
        <v>181</v>
      </c>
      <c r="T4" s="104" t="s">
        <v>186</v>
      </c>
      <c r="U4" s="100">
        <v>50</v>
      </c>
    </row>
    <row r="5" spans="1:21" s="100" customFormat="1" ht="21.95" customHeight="1" x14ac:dyDescent="0.25">
      <c r="A5" s="97" t="s">
        <v>490</v>
      </c>
      <c r="B5" s="103" t="s">
        <v>4</v>
      </c>
      <c r="C5" s="102" t="s">
        <v>153</v>
      </c>
      <c r="D5" s="97" t="s">
        <v>52</v>
      </c>
      <c r="E5" s="112" t="s">
        <v>545</v>
      </c>
      <c r="I5" s="100" t="s">
        <v>162</v>
      </c>
      <c r="L5" s="100">
        <v>3.5</v>
      </c>
      <c r="M5" s="100">
        <v>250</v>
      </c>
      <c r="O5" s="105" t="s">
        <v>363</v>
      </c>
      <c r="P5" s="104" t="s">
        <v>187</v>
      </c>
      <c r="Q5" s="104" t="s">
        <v>179</v>
      </c>
      <c r="T5" s="104" t="s">
        <v>24</v>
      </c>
      <c r="U5" s="100">
        <v>60</v>
      </c>
    </row>
    <row r="6" spans="1:21" s="100" customFormat="1" ht="21.95" customHeight="1" x14ac:dyDescent="0.25">
      <c r="A6" s="97" t="s">
        <v>491</v>
      </c>
      <c r="B6" s="103" t="s">
        <v>6</v>
      </c>
      <c r="C6" s="102">
        <v>1</v>
      </c>
      <c r="D6" s="97" t="s">
        <v>54</v>
      </c>
      <c r="E6" s="112" t="s">
        <v>526</v>
      </c>
      <c r="I6" s="100" t="s">
        <v>163</v>
      </c>
      <c r="M6" s="100">
        <v>300</v>
      </c>
      <c r="O6" s="104" t="s">
        <v>364</v>
      </c>
      <c r="P6" s="104" t="s">
        <v>189</v>
      </c>
      <c r="Q6" s="104" t="s">
        <v>16</v>
      </c>
      <c r="T6" s="104" t="s">
        <v>31</v>
      </c>
      <c r="U6" s="100">
        <v>75</v>
      </c>
    </row>
    <row r="7" spans="1:21" s="100" customFormat="1" ht="21.95" customHeight="1" x14ac:dyDescent="0.25">
      <c r="A7" s="97" t="s">
        <v>492</v>
      </c>
      <c r="B7" s="103" t="s">
        <v>7</v>
      </c>
      <c r="C7" s="102">
        <v>3.5</v>
      </c>
      <c r="D7" s="97" t="s">
        <v>56</v>
      </c>
      <c r="E7" s="112" t="s">
        <v>441</v>
      </c>
      <c r="I7" s="100" t="s">
        <v>164</v>
      </c>
      <c r="M7" s="100">
        <v>350</v>
      </c>
      <c r="P7" s="104" t="s">
        <v>190</v>
      </c>
      <c r="Q7" s="104" t="s">
        <v>187</v>
      </c>
      <c r="T7" s="104" t="s">
        <v>191</v>
      </c>
      <c r="U7" s="100">
        <v>80</v>
      </c>
    </row>
    <row r="8" spans="1:21" s="100" customFormat="1" ht="21.95" customHeight="1" x14ac:dyDescent="0.25">
      <c r="A8" s="97" t="s">
        <v>493</v>
      </c>
      <c r="B8" s="103" t="s">
        <v>8</v>
      </c>
      <c r="C8" s="102" t="s">
        <v>315</v>
      </c>
      <c r="D8" s="97" t="s">
        <v>58</v>
      </c>
      <c r="E8" s="112" t="s">
        <v>544</v>
      </c>
      <c r="M8" s="100">
        <v>400</v>
      </c>
      <c r="P8" s="104" t="s">
        <v>192</v>
      </c>
      <c r="Q8" s="104" t="s">
        <v>189</v>
      </c>
      <c r="T8" s="104" t="s">
        <v>194</v>
      </c>
      <c r="U8" s="100">
        <v>100</v>
      </c>
    </row>
    <row r="9" spans="1:21" s="100" customFormat="1" ht="21.95" customHeight="1" x14ac:dyDescent="0.25">
      <c r="A9" s="97" t="s">
        <v>494</v>
      </c>
      <c r="B9" s="103" t="s">
        <v>9</v>
      </c>
      <c r="C9" s="102">
        <v>1000</v>
      </c>
      <c r="D9" s="97" t="s">
        <v>60</v>
      </c>
      <c r="E9" s="112" t="s">
        <v>433</v>
      </c>
      <c r="M9" s="100">
        <v>450</v>
      </c>
      <c r="P9" s="104" t="s">
        <v>195</v>
      </c>
      <c r="Q9" s="104" t="s">
        <v>190</v>
      </c>
      <c r="T9" s="104" t="s">
        <v>196</v>
      </c>
      <c r="U9" s="100">
        <v>125</v>
      </c>
    </row>
    <row r="10" spans="1:21" s="100" customFormat="1" ht="21.95" customHeight="1" x14ac:dyDescent="0.25">
      <c r="A10" s="97" t="s">
        <v>495</v>
      </c>
      <c r="B10" s="103" t="s">
        <v>10</v>
      </c>
      <c r="C10" s="102" t="s">
        <v>11</v>
      </c>
      <c r="D10" s="97" t="s">
        <v>63</v>
      </c>
      <c r="E10" s="112" t="s">
        <v>524</v>
      </c>
      <c r="M10" s="100">
        <v>500</v>
      </c>
      <c r="P10" s="104" t="s">
        <v>197</v>
      </c>
      <c r="Q10" s="104" t="s">
        <v>192</v>
      </c>
      <c r="T10" s="104" t="s">
        <v>198</v>
      </c>
      <c r="U10" s="104">
        <v>140</v>
      </c>
    </row>
    <row r="11" spans="1:21" s="100" customFormat="1" ht="21.95" customHeight="1" x14ac:dyDescent="0.25">
      <c r="A11" s="97" t="s">
        <v>496</v>
      </c>
      <c r="B11" s="103" t="s">
        <v>443</v>
      </c>
      <c r="C11" s="102" t="s">
        <v>13</v>
      </c>
      <c r="D11" s="97" t="s">
        <v>64</v>
      </c>
      <c r="E11" s="112" t="s">
        <v>444</v>
      </c>
      <c r="M11" s="100">
        <v>550</v>
      </c>
      <c r="P11" s="104" t="s">
        <v>199</v>
      </c>
      <c r="Q11" s="104" t="s">
        <v>195</v>
      </c>
      <c r="T11" s="104" t="s">
        <v>201</v>
      </c>
      <c r="U11" s="104">
        <v>150</v>
      </c>
    </row>
    <row r="12" spans="1:21" s="100" customFormat="1" ht="21.95" customHeight="1" x14ac:dyDescent="0.25">
      <c r="A12" s="97" t="s">
        <v>497</v>
      </c>
      <c r="B12" s="103" t="s">
        <v>14</v>
      </c>
      <c r="C12" s="102" t="s">
        <v>0</v>
      </c>
      <c r="D12" s="97" t="s">
        <v>65</v>
      </c>
      <c r="E12" s="112"/>
      <c r="M12" s="100">
        <v>600</v>
      </c>
      <c r="P12" s="104" t="s">
        <v>202</v>
      </c>
      <c r="Q12" s="104" t="s">
        <v>197</v>
      </c>
      <c r="T12" s="104" t="s">
        <v>204</v>
      </c>
      <c r="U12" s="104">
        <v>175</v>
      </c>
    </row>
    <row r="13" spans="1:21" s="100" customFormat="1" ht="21.95" customHeight="1" x14ac:dyDescent="0.25">
      <c r="A13" s="97" t="s">
        <v>498</v>
      </c>
      <c r="B13" s="103" t="s">
        <v>445</v>
      </c>
      <c r="C13" s="102" t="s">
        <v>175</v>
      </c>
      <c r="D13" s="97" t="s">
        <v>67</v>
      </c>
      <c r="E13" s="112" t="s">
        <v>446</v>
      </c>
      <c r="M13" s="100">
        <v>650</v>
      </c>
      <c r="P13" s="104" t="s">
        <v>205</v>
      </c>
      <c r="Q13" s="104" t="s">
        <v>206</v>
      </c>
      <c r="T13" s="104" t="s">
        <v>208</v>
      </c>
      <c r="U13" s="104">
        <v>180</v>
      </c>
    </row>
    <row r="14" spans="1:21" s="100" customFormat="1" ht="21.95" customHeight="1" x14ac:dyDescent="0.25">
      <c r="A14" s="97" t="s">
        <v>499</v>
      </c>
      <c r="B14" s="103" t="s">
        <v>448</v>
      </c>
      <c r="C14" s="102" t="s">
        <v>175</v>
      </c>
      <c r="D14" s="97" t="s">
        <v>68</v>
      </c>
      <c r="E14" s="112"/>
      <c r="M14" s="100">
        <v>700</v>
      </c>
      <c r="T14" s="104" t="s">
        <v>210</v>
      </c>
      <c r="U14" s="104">
        <v>200</v>
      </c>
    </row>
    <row r="15" spans="1:21" s="100" customFormat="1" ht="21.95" customHeight="1" x14ac:dyDescent="0.25">
      <c r="A15" s="97" t="s">
        <v>500</v>
      </c>
      <c r="B15" s="103" t="s">
        <v>438</v>
      </c>
      <c r="C15" s="102" t="s">
        <v>182</v>
      </c>
      <c r="D15" s="97"/>
      <c r="E15" s="112" t="s">
        <v>449</v>
      </c>
      <c r="M15" s="100">
        <v>750</v>
      </c>
      <c r="T15" s="104" t="s">
        <v>211</v>
      </c>
      <c r="U15" s="104">
        <v>225</v>
      </c>
    </row>
    <row r="16" spans="1:21" s="100" customFormat="1" ht="15" customHeight="1" x14ac:dyDescent="0.25">
      <c r="A16" s="97"/>
      <c r="B16" s="136" t="s">
        <v>20</v>
      </c>
      <c r="C16" s="136"/>
      <c r="D16" s="97"/>
      <c r="E16" s="112"/>
      <c r="M16" s="100">
        <v>800</v>
      </c>
      <c r="T16" s="104" t="s">
        <v>213</v>
      </c>
      <c r="U16" s="104">
        <v>240</v>
      </c>
    </row>
    <row r="17" spans="1:21" s="100" customFormat="1" ht="21.95" customHeight="1" x14ac:dyDescent="0.25">
      <c r="A17" s="97" t="s">
        <v>501</v>
      </c>
      <c r="B17" s="103" t="s">
        <v>21</v>
      </c>
      <c r="C17" s="102" t="s">
        <v>176</v>
      </c>
      <c r="D17" s="97" t="s">
        <v>71</v>
      </c>
      <c r="E17" s="112" t="s">
        <v>527</v>
      </c>
      <c r="M17" s="100">
        <v>900</v>
      </c>
      <c r="T17" s="104" t="s">
        <v>215</v>
      </c>
      <c r="U17" s="104">
        <v>250</v>
      </c>
    </row>
    <row r="18" spans="1:21" s="100" customFormat="1" ht="21.95" customHeight="1" x14ac:dyDescent="0.25">
      <c r="A18" s="97" t="s">
        <v>502</v>
      </c>
      <c r="B18" s="103" t="s">
        <v>23</v>
      </c>
      <c r="C18" s="102" t="s">
        <v>191</v>
      </c>
      <c r="D18" s="97" t="s">
        <v>73</v>
      </c>
      <c r="E18" s="112" t="s">
        <v>432</v>
      </c>
      <c r="M18" s="100">
        <v>950</v>
      </c>
      <c r="T18" s="104" t="s">
        <v>217</v>
      </c>
      <c r="U18" s="104">
        <v>275</v>
      </c>
    </row>
    <row r="19" spans="1:21" s="100" customFormat="1" ht="15" customHeight="1" x14ac:dyDescent="0.25">
      <c r="A19" s="97"/>
      <c r="B19" s="136" t="s">
        <v>25</v>
      </c>
      <c r="C19" s="136"/>
      <c r="D19" s="97"/>
      <c r="E19" s="112"/>
      <c r="M19" s="100">
        <v>1000</v>
      </c>
      <c r="T19" s="104" t="s">
        <v>219</v>
      </c>
      <c r="U19" s="104">
        <v>280</v>
      </c>
    </row>
    <row r="20" spans="1:21" s="100" customFormat="1" ht="21.95" customHeight="1" x14ac:dyDescent="0.25">
      <c r="A20" s="97" t="s">
        <v>503</v>
      </c>
      <c r="B20" s="100" t="s">
        <v>26</v>
      </c>
      <c r="C20" s="102" t="s">
        <v>176</v>
      </c>
      <c r="D20" s="97" t="s">
        <v>75</v>
      </c>
      <c r="E20" s="112" t="s">
        <v>527</v>
      </c>
      <c r="T20" s="104" t="s">
        <v>221</v>
      </c>
      <c r="U20" s="104">
        <v>300</v>
      </c>
    </row>
    <row r="21" spans="1:21" s="100" customFormat="1" ht="21.95" customHeight="1" x14ac:dyDescent="0.25">
      <c r="A21" s="97" t="s">
        <v>504</v>
      </c>
      <c r="B21" s="103" t="s">
        <v>28</v>
      </c>
      <c r="C21" s="102">
        <v>1</v>
      </c>
      <c r="D21" s="97" t="s">
        <v>77</v>
      </c>
      <c r="E21" s="112" t="s">
        <v>508</v>
      </c>
      <c r="T21" s="104" t="s">
        <v>223</v>
      </c>
      <c r="U21" s="104">
        <v>325</v>
      </c>
    </row>
    <row r="22" spans="1:21" s="100" customFormat="1" ht="21.95" customHeight="1" x14ac:dyDescent="0.25">
      <c r="A22" s="97" t="s">
        <v>505</v>
      </c>
      <c r="B22" s="103" t="s">
        <v>29</v>
      </c>
      <c r="C22" s="102">
        <v>500</v>
      </c>
      <c r="D22" s="97" t="s">
        <v>79</v>
      </c>
      <c r="E22" s="112" t="s">
        <v>515</v>
      </c>
      <c r="T22" s="104" t="s">
        <v>225</v>
      </c>
      <c r="U22" s="104">
        <v>340</v>
      </c>
    </row>
    <row r="23" spans="1:21" s="100" customFormat="1" ht="21.95" customHeight="1" x14ac:dyDescent="0.25">
      <c r="A23" s="97" t="s">
        <v>506</v>
      </c>
      <c r="B23" s="103" t="s">
        <v>30</v>
      </c>
      <c r="C23" s="102" t="s">
        <v>234</v>
      </c>
      <c r="D23" s="97" t="s">
        <v>82</v>
      </c>
      <c r="E23" s="112" t="s">
        <v>432</v>
      </c>
      <c r="T23" s="104" t="s">
        <v>227</v>
      </c>
      <c r="U23" s="104">
        <v>350</v>
      </c>
    </row>
    <row r="24" spans="1:21" s="100" customFormat="1" ht="15" customHeight="1" x14ac:dyDescent="0.25">
      <c r="A24" s="97"/>
      <c r="B24" s="106" t="s">
        <v>32</v>
      </c>
      <c r="C24" s="97"/>
      <c r="D24" s="97"/>
      <c r="E24" s="110"/>
      <c r="T24" s="104" t="s">
        <v>228</v>
      </c>
      <c r="U24" s="104">
        <v>375</v>
      </c>
    </row>
    <row r="25" spans="1:21" s="100" customFormat="1" ht="21.95" customHeight="1" x14ac:dyDescent="0.25">
      <c r="A25" s="97" t="s">
        <v>507</v>
      </c>
      <c r="B25" s="103" t="s">
        <v>33</v>
      </c>
      <c r="C25" s="102">
        <v>0</v>
      </c>
      <c r="D25" s="97" t="s">
        <v>121</v>
      </c>
      <c r="E25" s="110" t="s">
        <v>537</v>
      </c>
      <c r="T25" s="104" t="s">
        <v>230</v>
      </c>
      <c r="U25" s="104">
        <v>380</v>
      </c>
    </row>
    <row r="26" spans="1:21" x14ac:dyDescent="0.25">
      <c r="E26" s="111"/>
      <c r="T26" s="47" t="s">
        <v>232</v>
      </c>
      <c r="U26" s="47">
        <v>400</v>
      </c>
    </row>
    <row r="27" spans="1:21" ht="15.75" thickBot="1" x14ac:dyDescent="0.3">
      <c r="T27" s="47" t="s">
        <v>234</v>
      </c>
      <c r="U27" s="47">
        <v>425</v>
      </c>
    </row>
    <row r="28" spans="1:21" x14ac:dyDescent="0.25">
      <c r="B28" s="137" t="s">
        <v>34</v>
      </c>
      <c r="C28" s="138"/>
      <c r="D28" s="114"/>
      <c r="U28" s="47">
        <v>440</v>
      </c>
    </row>
    <row r="29" spans="1:21" x14ac:dyDescent="0.25">
      <c r="B29" s="115" t="s">
        <v>36</v>
      </c>
      <c r="C29" s="116">
        <f>MAX(Working!D30:D53)</f>
        <v>0</v>
      </c>
      <c r="D29" s="117" t="s">
        <v>139</v>
      </c>
      <c r="U29" s="47">
        <v>450</v>
      </c>
    </row>
    <row r="30" spans="1:21" x14ac:dyDescent="0.25">
      <c r="B30" s="115" t="s">
        <v>35</v>
      </c>
      <c r="C30" s="116">
        <f>MAX(Working!E30:E53)</f>
        <v>0</v>
      </c>
      <c r="D30" s="117" t="s">
        <v>142</v>
      </c>
      <c r="U30" s="47">
        <v>475</v>
      </c>
    </row>
    <row r="31" spans="1:21" ht="15.75" thickBot="1" x14ac:dyDescent="0.3">
      <c r="B31" s="115" t="s">
        <v>37</v>
      </c>
      <c r="C31" s="116">
        <f>MAX(Working!F30:F53)</f>
        <v>0</v>
      </c>
      <c r="D31" s="117" t="s">
        <v>145</v>
      </c>
      <c r="U31" s="47">
        <v>480</v>
      </c>
    </row>
    <row r="32" spans="1:21" ht="15.75" thickBot="1" x14ac:dyDescent="0.3">
      <c r="B32" s="118" t="s">
        <v>38</v>
      </c>
      <c r="C32" s="113">
        <f>C29+C30+C31</f>
        <v>0</v>
      </c>
      <c r="D32" s="119" t="s">
        <v>148</v>
      </c>
      <c r="E32" s="111"/>
      <c r="U32" s="47">
        <v>500</v>
      </c>
    </row>
    <row r="50" spans="5:5" x14ac:dyDescent="0.25">
      <c r="E50" s="111"/>
    </row>
    <row r="51" spans="5:5" x14ac:dyDescent="0.25">
      <c r="E51" s="111"/>
    </row>
    <row r="52" spans="5:5" x14ac:dyDescent="0.25">
      <c r="E52" s="111"/>
    </row>
    <row r="53" spans="5:5" x14ac:dyDescent="0.25">
      <c r="E53" s="111"/>
    </row>
    <row r="54" spans="5:5" x14ac:dyDescent="0.25">
      <c r="E54" s="111"/>
    </row>
  </sheetData>
  <sheetProtection algorithmName="SHA-512" hashValue="iVPEMp4fQJd2in92pPAQgQ7G9J8FNl1JtMkZspe3EKCpNVB9gXhEanMithSiyfoB+ObHYfS10PwWEEyfTdVtDw==" saltValue="zhMCEt9dlLSgqQ4g7dWwew==" spinCount="100000" sheet="1" formatCells="0" selectLockedCells="1"/>
  <mergeCells count="3">
    <mergeCell ref="B16:C16"/>
    <mergeCell ref="B19:C19"/>
    <mergeCell ref="B28:C28"/>
  </mergeCells>
  <conditionalFormatting sqref="C20:C23">
    <cfRule type="expression" dxfId="9" priority="4">
      <formula>$C$17="Road Safety Barriers"</formula>
    </cfRule>
  </conditionalFormatting>
  <conditionalFormatting sqref="C15">
    <cfRule type="expression" dxfId="8" priority="3">
      <formula>$C$13="Straight"</formula>
    </cfRule>
  </conditionalFormatting>
  <conditionalFormatting sqref="B18:C18">
    <cfRule type="expression" dxfId="7" priority="2">
      <formula>$C$17="None"</formula>
    </cfRule>
  </conditionalFormatting>
  <conditionalFormatting sqref="C21:C23">
    <cfRule type="expression" dxfId="6" priority="1">
      <formula>$C$20="None"</formula>
    </cfRule>
  </conditionalFormatting>
  <dataValidations count="16">
    <dataValidation type="list" allowBlank="1" showInputMessage="1" showErrorMessage="1" sqref="C15" xr:uid="{12432CB7-5D99-4129-8776-A05416128928}">
      <formula1>$S$2:$S$3</formula1>
    </dataValidation>
    <dataValidation type="list" allowBlank="1" showInputMessage="1" showErrorMessage="1" sqref="C13" xr:uid="{1C1CC078-131D-44F0-9D49-72FFE2578F7E}">
      <formula1>IF($C$4="110 km/h",AboveSeventyCurve,IF($C$4="100 km/h", AboveSeventyCurve,IF($C$4="90 km/h", AboveSeventyCurve,IF($C$4="80 km/h",AboveSeventyCurve,IF($C$4="70 km/h",BelowSeventyCurve,IF($C$4="60 km/h",BelowSeventyCurve))))))</formula1>
    </dataValidation>
    <dataValidation type="list" allowBlank="1" showInputMessage="1" showErrorMessage="1" sqref="C11" xr:uid="{7DC677D8-9257-4DCE-8084-A7AC5D290870}">
      <formula1>$N$2:$N$3</formula1>
    </dataValidation>
    <dataValidation type="list" allowBlank="1" showInputMessage="1" showErrorMessage="1" sqref="C9" xr:uid="{72086240-BFFC-44A3-9F3C-F45D84E980D0}">
      <formula1>$M$2:$M$19</formula1>
    </dataValidation>
    <dataValidation type="list" allowBlank="1" showInputMessage="1" showErrorMessage="1" sqref="C8" xr:uid="{CAB35372-8E2F-4827-9538-B550B19688FB}">
      <formula1>IF($C$5="Undivided",UndividedExp,IF($C$5="Divided",DividedExp))</formula1>
    </dataValidation>
    <dataValidation type="list" allowBlank="1" showInputMessage="1" showErrorMessage="1" sqref="C7" xr:uid="{49B1C643-88D1-48AD-B675-341923078285}">
      <formula1>$L$2:$L$5</formula1>
    </dataValidation>
    <dataValidation type="list" allowBlank="1" showInputMessage="1" showErrorMessage="1" sqref="C6" xr:uid="{3333F3A8-1DC2-4A1E-8FB5-DD3B93D80B60}">
      <formula1>IF($C$5="Undivided",UndividedLanes,IF($C$5="Divided",DividedLanes))</formula1>
    </dataValidation>
    <dataValidation type="list" allowBlank="1" showInputMessage="1" showErrorMessage="1" sqref="C5" xr:uid="{9D771E10-91AC-40EA-BEE4-B922F363852D}">
      <formula1>$J$1:$K$1</formula1>
    </dataValidation>
    <dataValidation type="list" allowBlank="1" showInputMessage="1" showErrorMessage="1" sqref="C3" xr:uid="{0B3DC300-70ED-40F0-A2CE-265B8BBB5367}">
      <formula1>$H$2:$H$3</formula1>
    </dataValidation>
    <dataValidation type="list" allowBlank="1" showInputMessage="1" showErrorMessage="1" sqref="C4" xr:uid="{D95EA3E7-0183-4E51-BBD6-2667E58E58B1}">
      <formula1>$I$2:$I$7</formula1>
    </dataValidation>
    <dataValidation type="list" allowBlank="1" showInputMessage="1" showErrorMessage="1" sqref="C2" xr:uid="{F743B6F4-3487-4447-AABA-95251FF3448D}">
      <formula1>$G$2:$G$4</formula1>
    </dataValidation>
    <dataValidation type="list" allowBlank="1" showInputMessage="1" showErrorMessage="1" sqref="C14" xr:uid="{347F9C4E-8C7D-4EAD-8781-10C635F69E37}">
      <formula1>$R$2:$R$4</formula1>
    </dataValidation>
    <dataValidation type="list" allowBlank="1" showInputMessage="1" showErrorMessage="1" sqref="C12" xr:uid="{E724BEBC-FE9B-4269-92A1-169BFBBBEB6D}">
      <formula1>$O$2:$O$6</formula1>
    </dataValidation>
    <dataValidation type="list" allowBlank="1" showInputMessage="1" showErrorMessage="1" sqref="C24" xr:uid="{550985E9-448C-408A-9325-3D0F3AA7E994}">
      <formula1>$W$2:$W$52</formula1>
    </dataValidation>
    <dataValidation type="list" allowBlank="1" showInputMessage="1" showErrorMessage="1" sqref="C23 C18" xr:uid="{44EE149E-1C3A-4259-827B-D4CF238EE777}">
      <formula1>$T$2:$T$49</formula1>
    </dataValidation>
    <dataValidation type="list" allowBlank="1" showInputMessage="1" showErrorMessage="1" sqref="C22" xr:uid="{263F31D1-863E-4F65-A087-E3635A09FB00}">
      <formula1>$U$2:$U$32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EE8C493-4186-461A-98CA-E56C1E055489}">
          <x14:formula1>
            <xm:f>'Trauma Index'!$B$3:$B$108</xm:f>
          </x14:formula1>
          <xm:sqref>C20 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A394-02C1-42DD-8195-B447C94EA6DE}">
  <sheetPr>
    <pageSetUpPr fitToPage="1"/>
  </sheetPr>
  <dimension ref="B1:M39"/>
  <sheetViews>
    <sheetView workbookViewId="0">
      <selection activeCell="B14" sqref="B14"/>
    </sheetView>
  </sheetViews>
  <sheetFormatPr defaultColWidth="8.7109375" defaultRowHeight="15" x14ac:dyDescent="0.25"/>
  <cols>
    <col min="1" max="1" width="8.7109375" style="59"/>
    <col min="2" max="2" width="76.85546875" style="59" bestFit="1" customWidth="1"/>
    <col min="3" max="5" width="43.140625" style="59" bestFit="1" customWidth="1"/>
    <col min="6" max="6" width="19.140625" style="59" bestFit="1" customWidth="1"/>
    <col min="7" max="11" width="0" style="59" hidden="1" customWidth="1"/>
    <col min="12" max="12" width="35.28515625" style="59" hidden="1" customWidth="1"/>
    <col min="13" max="13" width="42.5703125" style="59" hidden="1" customWidth="1"/>
    <col min="14" max="14" width="0" style="59" hidden="1" customWidth="1"/>
    <col min="15" max="16384" width="8.7109375" style="59"/>
  </cols>
  <sheetData>
    <row r="1" spans="2:13" ht="15.75" thickBot="1" x14ac:dyDescent="0.3">
      <c r="K1" s="79" t="s">
        <v>424</v>
      </c>
      <c r="L1" s="79" t="s">
        <v>466</v>
      </c>
      <c r="M1" s="79" t="s">
        <v>467</v>
      </c>
    </row>
    <row r="2" spans="2:13" ht="15.75" x14ac:dyDescent="0.25">
      <c r="B2" s="121" t="s">
        <v>454</v>
      </c>
      <c r="C2" s="140" t="str">
        <f>CONCATENATE(Instructions!C6," ",Instructions!C7," ",Instructions!C8)</f>
        <v>Costa Highway CHA 400 to CHA 1400 Yates St to Coulson Rd</v>
      </c>
      <c r="D2" s="140"/>
      <c r="E2" s="141"/>
      <c r="K2" s="59" t="s">
        <v>463</v>
      </c>
      <c r="L2" s="59" t="s">
        <v>463</v>
      </c>
      <c r="M2" s="59" t="s">
        <v>463</v>
      </c>
    </row>
    <row r="3" spans="2:13" ht="15.75" thickBot="1" x14ac:dyDescent="0.3">
      <c r="B3" s="80" t="s">
        <v>423</v>
      </c>
      <c r="C3" s="81" t="s">
        <v>424</v>
      </c>
      <c r="D3" s="82"/>
      <c r="E3" s="65"/>
      <c r="K3" s="59" t="s">
        <v>457</v>
      </c>
      <c r="L3" s="59" t="s">
        <v>459</v>
      </c>
      <c r="M3" s="59" t="s">
        <v>468</v>
      </c>
    </row>
    <row r="4" spans="2:13" ht="15.75" thickBot="1" x14ac:dyDescent="0.3">
      <c r="B4" s="83" t="s">
        <v>455</v>
      </c>
      <c r="C4" s="120">
        <f>'Risk Score Calculator'!C32</f>
        <v>0</v>
      </c>
      <c r="D4" s="64"/>
      <c r="E4" s="65"/>
      <c r="K4" s="59" t="s">
        <v>458</v>
      </c>
      <c r="L4" s="59" t="s">
        <v>460</v>
      </c>
      <c r="M4" s="59" t="s">
        <v>472</v>
      </c>
    </row>
    <row r="5" spans="2:13" x14ac:dyDescent="0.25">
      <c r="B5" s="83" t="s">
        <v>456</v>
      </c>
      <c r="C5" s="93" t="s">
        <v>458</v>
      </c>
      <c r="D5" s="126" t="str">
        <f>IF(C5="No","If the score is in the EDD or Design Exception range then it will require acceptance by DTP",IF(C5="Yes"," "))</f>
        <v>If the score is in the EDD or Design Exception range then it will require acceptance by DTP</v>
      </c>
      <c r="E5" s="65"/>
      <c r="L5" s="59" t="s">
        <v>461</v>
      </c>
      <c r="M5" s="59" t="s">
        <v>469</v>
      </c>
    </row>
    <row r="6" spans="2:13" x14ac:dyDescent="0.25">
      <c r="B6" s="83" t="s">
        <v>465</v>
      </c>
      <c r="C6" s="93" t="s">
        <v>458</v>
      </c>
      <c r="D6" s="142"/>
      <c r="E6" s="143"/>
      <c r="L6" s="59" t="s">
        <v>462</v>
      </c>
      <c r="M6" s="59" t="s">
        <v>470</v>
      </c>
    </row>
    <row r="7" spans="2:13" x14ac:dyDescent="0.25">
      <c r="B7" s="85" t="s">
        <v>482</v>
      </c>
      <c r="C7" s="144"/>
      <c r="D7" s="144"/>
      <c r="E7" s="145"/>
      <c r="L7" s="59" t="s">
        <v>464</v>
      </c>
      <c r="M7" s="59" t="s">
        <v>474</v>
      </c>
    </row>
    <row r="8" spans="2:13" x14ac:dyDescent="0.25">
      <c r="B8" s="83" t="s">
        <v>535</v>
      </c>
      <c r="C8" s="93" t="s">
        <v>458</v>
      </c>
      <c r="D8" s="64"/>
      <c r="E8" s="65"/>
      <c r="M8" s="59" t="s">
        <v>473</v>
      </c>
    </row>
    <row r="9" spans="2:13" x14ac:dyDescent="0.25">
      <c r="B9" s="83" t="s">
        <v>516</v>
      </c>
      <c r="C9" s="144"/>
      <c r="D9" s="144"/>
      <c r="E9" s="145"/>
      <c r="M9" s="59" t="s">
        <v>471</v>
      </c>
    </row>
    <row r="10" spans="2:13" x14ac:dyDescent="0.25">
      <c r="B10" s="83" t="s">
        <v>475</v>
      </c>
      <c r="C10" s="93" t="s">
        <v>457</v>
      </c>
      <c r="D10" s="95"/>
      <c r="E10" s="96"/>
    </row>
    <row r="11" spans="2:13" x14ac:dyDescent="0.25">
      <c r="B11" s="86" t="s">
        <v>466</v>
      </c>
      <c r="C11" s="87" t="s">
        <v>478</v>
      </c>
      <c r="D11" s="87" t="s">
        <v>479</v>
      </c>
      <c r="E11" s="88" t="s">
        <v>480</v>
      </c>
    </row>
    <row r="12" spans="2:13" x14ac:dyDescent="0.25">
      <c r="B12" s="83" t="s">
        <v>481</v>
      </c>
      <c r="C12" s="108" t="s">
        <v>461</v>
      </c>
      <c r="D12" s="108" t="s">
        <v>463</v>
      </c>
      <c r="E12" s="109" t="s">
        <v>463</v>
      </c>
    </row>
    <row r="13" spans="2:13" x14ac:dyDescent="0.25">
      <c r="B13" s="83" t="s">
        <v>528</v>
      </c>
      <c r="C13" s="93" t="s">
        <v>463</v>
      </c>
      <c r="D13" s="84"/>
      <c r="E13" s="89"/>
    </row>
    <row r="14" spans="2:13" x14ac:dyDescent="0.25">
      <c r="B14" s="86" t="s">
        <v>467</v>
      </c>
      <c r="C14" s="87" t="s">
        <v>484</v>
      </c>
      <c r="D14" s="87" t="s">
        <v>485</v>
      </c>
      <c r="E14" s="88" t="s">
        <v>486</v>
      </c>
    </row>
    <row r="15" spans="2:13" x14ac:dyDescent="0.25">
      <c r="B15" s="83" t="s">
        <v>483</v>
      </c>
      <c r="C15" s="108" t="s">
        <v>463</v>
      </c>
      <c r="D15" s="108" t="s">
        <v>463</v>
      </c>
      <c r="E15" s="109" t="s">
        <v>463</v>
      </c>
    </row>
    <row r="16" spans="2:13" ht="15.75" thickBot="1" x14ac:dyDescent="0.3">
      <c r="B16" s="90" t="s">
        <v>529</v>
      </c>
      <c r="C16" s="94" t="s">
        <v>463</v>
      </c>
      <c r="D16" s="91"/>
      <c r="E16" s="127" t="s">
        <v>554</v>
      </c>
    </row>
    <row r="17" spans="2:7" x14ac:dyDescent="0.25">
      <c r="B17" s="146" t="s">
        <v>436</v>
      </c>
      <c r="C17" s="146"/>
      <c r="D17" s="146"/>
      <c r="E17" s="146"/>
      <c r="F17" s="92"/>
      <c r="G17" s="92"/>
    </row>
    <row r="33" spans="2:5" x14ac:dyDescent="0.25">
      <c r="B33" s="139" t="s">
        <v>552</v>
      </c>
      <c r="C33" s="139"/>
      <c r="D33" s="139"/>
      <c r="E33" s="139"/>
    </row>
    <row r="36" spans="2:5" ht="18.75" x14ac:dyDescent="0.3">
      <c r="B36" s="124" t="s">
        <v>536</v>
      </c>
    </row>
    <row r="37" spans="2:5" x14ac:dyDescent="0.25">
      <c r="B37" s="125" t="s">
        <v>548</v>
      </c>
    </row>
    <row r="38" spans="2:5" x14ac:dyDescent="0.25">
      <c r="B38" s="125" t="s">
        <v>550</v>
      </c>
    </row>
    <row r="39" spans="2:5" x14ac:dyDescent="0.25">
      <c r="B39" s="125" t="s">
        <v>551</v>
      </c>
    </row>
  </sheetData>
  <sheetProtection algorithmName="SHA-512" hashValue="2eb7riqlUd9y8Y1hJ0W8FZuvCC0vAALZdVZxbKx7R9z4Kr+a0BjwaZlklTAFJ7xOc6B6ekqhzonrXgtoj/jtyg==" saltValue="BtjhkSLjp2CN1NbtV1SYIA==" spinCount="100000" sheet="1" objects="1" scenarios="1"/>
  <mergeCells count="6">
    <mergeCell ref="B33:E33"/>
    <mergeCell ref="C2:E2"/>
    <mergeCell ref="D6:E6"/>
    <mergeCell ref="C7:E7"/>
    <mergeCell ref="B17:E17"/>
    <mergeCell ref="C9:E9"/>
  </mergeCells>
  <conditionalFormatting sqref="C12:E13 C15:E15 C16:D16">
    <cfRule type="expression" dxfId="5" priority="3">
      <formula>$C$10="No"</formula>
    </cfRule>
  </conditionalFormatting>
  <conditionalFormatting sqref="C9:E9">
    <cfRule type="expression" dxfId="4" priority="2">
      <formula>$C$8="No"</formula>
    </cfRule>
  </conditionalFormatting>
  <conditionalFormatting sqref="C7:E7">
    <cfRule type="expression" dxfId="3" priority="1">
      <formula>$C$6="No"</formula>
    </cfRule>
  </conditionalFormatting>
  <dataValidations count="4">
    <dataValidation type="list" allowBlank="1" showInputMessage="1" showErrorMessage="1" sqref="C5:C6 C8 C10" xr:uid="{6717525B-1B8A-4FA9-B9D0-2FA3F96BD717}">
      <formula1>$K$3:$K$4</formula1>
    </dataValidation>
    <dataValidation type="list" allowBlank="1" showInputMessage="1" showErrorMessage="1" sqref="C13 C16" xr:uid="{9C366F5C-85F8-4B3A-8D1B-4B1CD0D85C29}">
      <formula1>$K$2:$K$4</formula1>
    </dataValidation>
    <dataValidation type="list" allowBlank="1" showInputMessage="1" showErrorMessage="1" sqref="C12:E12" xr:uid="{B3D0016D-BCAC-47F1-B2C6-33B69FBB0540}">
      <formula1>$L$2:$L$7</formula1>
    </dataValidation>
    <dataValidation type="list" allowBlank="1" showInputMessage="1" showErrorMessage="1" sqref="C15:E15" xr:uid="{3FDE3251-1162-4B57-A7A8-D1CCCD98E7CC}">
      <formula1>$M$2:$M$9</formula1>
    </dataValidation>
  </dataValidations>
  <pageMargins left="0.70866141732283472" right="0.70866141732283472" top="0.74803149606299213" bottom="0.74803149606299213" header="0.31496062992125984" footer="0.31496062992125984"/>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75BB-E1F8-4B69-9482-240F6F544DA5}">
  <sheetPr>
    <pageSetUpPr fitToPage="1"/>
  </sheetPr>
  <dimension ref="A1:F43"/>
  <sheetViews>
    <sheetView zoomScaleNormal="100" workbookViewId="0">
      <selection activeCell="E8" sqref="E8"/>
    </sheetView>
  </sheetViews>
  <sheetFormatPr defaultColWidth="8.7109375" defaultRowHeight="15" x14ac:dyDescent="0.25"/>
  <cols>
    <col min="1" max="1" width="13.85546875" style="59" customWidth="1"/>
    <col min="2" max="2" width="48.28515625" style="59" customWidth="1"/>
    <col min="3" max="3" width="6.42578125" style="59" customWidth="1"/>
    <col min="4" max="4" width="30.140625" style="59" customWidth="1"/>
    <col min="5" max="5" width="58.28515625" style="59" customWidth="1"/>
    <col min="6" max="6" width="40.5703125" style="59" customWidth="1"/>
    <col min="7" max="16384" width="8.7109375" style="59"/>
  </cols>
  <sheetData>
    <row r="1" spans="1:6" ht="19.5" thickBot="1" x14ac:dyDescent="0.35">
      <c r="A1" s="69" t="s">
        <v>39</v>
      </c>
      <c r="B1" s="70" t="s">
        <v>40</v>
      </c>
      <c r="C1" s="70" t="s">
        <v>41</v>
      </c>
      <c r="D1" s="70" t="s">
        <v>42</v>
      </c>
      <c r="E1" s="148" t="str">
        <f>CONCATENATE(Instructions!C6," ",Instructions!C7," ",Instructions!C8)</f>
        <v>Costa Highway CHA 400 to CHA 1400 Yates St to Coulson Rd</v>
      </c>
      <c r="F1" s="149"/>
    </row>
    <row r="2" spans="1:6" x14ac:dyDescent="0.25">
      <c r="A2" s="153" t="s">
        <v>43</v>
      </c>
      <c r="B2" s="66" t="s">
        <v>44</v>
      </c>
      <c r="C2" s="67" t="s">
        <v>45</v>
      </c>
      <c r="D2" s="67" t="s">
        <v>46</v>
      </c>
      <c r="E2" s="74" t="str">
        <f>'Risk Score Calculator'!C2</f>
        <v>Flat</v>
      </c>
      <c r="F2" s="68"/>
    </row>
    <row r="3" spans="1:6" x14ac:dyDescent="0.25">
      <c r="A3" s="150"/>
      <c r="B3" s="63" t="s">
        <v>47</v>
      </c>
      <c r="C3" s="64" t="s">
        <v>48</v>
      </c>
      <c r="D3" s="64" t="s">
        <v>46</v>
      </c>
      <c r="E3" s="75" t="str">
        <f>'Risk Score Calculator'!C3</f>
        <v>Urban</v>
      </c>
      <c r="F3" s="65"/>
    </row>
    <row r="4" spans="1:6" ht="30" x14ac:dyDescent="0.25">
      <c r="A4" s="150"/>
      <c r="B4" s="63" t="s">
        <v>49</v>
      </c>
      <c r="C4" s="64" t="s">
        <v>50</v>
      </c>
      <c r="D4" s="64" t="s">
        <v>46</v>
      </c>
      <c r="E4" s="75" t="str">
        <f>'Risk Score Calculator'!C4</f>
        <v>60 km/h</v>
      </c>
      <c r="F4" s="65"/>
    </row>
    <row r="5" spans="1:6" x14ac:dyDescent="0.25">
      <c r="A5" s="150"/>
      <c r="B5" s="63" t="s">
        <v>51</v>
      </c>
      <c r="C5" s="64" t="s">
        <v>52</v>
      </c>
      <c r="D5" s="64" t="s">
        <v>46</v>
      </c>
      <c r="E5" s="75" t="str">
        <f>'Risk Score Calculator'!C5</f>
        <v>Undivided</v>
      </c>
      <c r="F5" s="65"/>
    </row>
    <row r="6" spans="1:6" x14ac:dyDescent="0.25">
      <c r="A6" s="150"/>
      <c r="B6" s="63" t="s">
        <v>53</v>
      </c>
      <c r="C6" s="64" t="s">
        <v>54</v>
      </c>
      <c r="D6" s="64" t="s">
        <v>46</v>
      </c>
      <c r="E6" s="75">
        <f>'Risk Score Calculator'!C6</f>
        <v>1</v>
      </c>
      <c r="F6" s="65"/>
    </row>
    <row r="7" spans="1:6" x14ac:dyDescent="0.25">
      <c r="A7" s="150"/>
      <c r="B7" s="63" t="s">
        <v>55</v>
      </c>
      <c r="C7" s="64" t="s">
        <v>56</v>
      </c>
      <c r="D7" s="64" t="s">
        <v>46</v>
      </c>
      <c r="E7" s="75">
        <f>'Risk Score Calculator'!C7</f>
        <v>3.5</v>
      </c>
      <c r="F7" s="65"/>
    </row>
    <row r="8" spans="1:6" x14ac:dyDescent="0.25">
      <c r="A8" s="150"/>
      <c r="B8" s="63" t="s">
        <v>57</v>
      </c>
      <c r="C8" s="64" t="s">
        <v>58</v>
      </c>
      <c r="D8" s="64" t="s">
        <v>46</v>
      </c>
      <c r="E8" s="75" t="str">
        <f>'Risk Score Calculator'!C8</f>
        <v>≤1000 AADT</v>
      </c>
      <c r="F8" s="65"/>
    </row>
    <row r="9" spans="1:6" x14ac:dyDescent="0.25">
      <c r="A9" s="150"/>
      <c r="B9" s="63" t="s">
        <v>59</v>
      </c>
      <c r="C9" s="64" t="s">
        <v>60</v>
      </c>
      <c r="D9" s="64" t="s">
        <v>46</v>
      </c>
      <c r="E9" s="75">
        <f>'Risk Score Calculator'!C9</f>
        <v>1000</v>
      </c>
      <c r="F9" s="65"/>
    </row>
    <row r="10" spans="1:6" x14ac:dyDescent="0.25">
      <c r="A10" s="150" t="s">
        <v>61</v>
      </c>
      <c r="B10" s="63" t="s">
        <v>62</v>
      </c>
      <c r="C10" s="64" t="s">
        <v>63</v>
      </c>
      <c r="D10" s="64" t="s">
        <v>46</v>
      </c>
      <c r="E10" s="75" t="str">
        <f>'Risk Score Calculator'!C10</f>
        <v>N/A</v>
      </c>
      <c r="F10" s="65"/>
    </row>
    <row r="11" spans="1:6" x14ac:dyDescent="0.25">
      <c r="A11" s="150"/>
      <c r="B11" s="63" t="s">
        <v>12</v>
      </c>
      <c r="C11" s="64" t="s">
        <v>64</v>
      </c>
      <c r="D11" s="64" t="s">
        <v>46</v>
      </c>
      <c r="E11" s="75" t="str">
        <f>'Risk Score Calculator'!C11</f>
        <v>Verge</v>
      </c>
      <c r="F11" s="65"/>
    </row>
    <row r="12" spans="1:6" x14ac:dyDescent="0.25">
      <c r="A12" s="150"/>
      <c r="B12" s="63" t="s">
        <v>14</v>
      </c>
      <c r="C12" s="64" t="s">
        <v>65</v>
      </c>
      <c r="D12" s="64" t="s">
        <v>46</v>
      </c>
      <c r="E12" s="75" t="str">
        <f>'Risk Score Calculator'!C12</f>
        <v>Flat</v>
      </c>
      <c r="F12" s="71" t="s">
        <v>66</v>
      </c>
    </row>
    <row r="13" spans="1:6" x14ac:dyDescent="0.25">
      <c r="A13" s="150"/>
      <c r="B13" s="63" t="s">
        <v>15</v>
      </c>
      <c r="C13" s="64" t="s">
        <v>67</v>
      </c>
      <c r="D13" s="64" t="s">
        <v>46</v>
      </c>
      <c r="E13" s="75" t="str">
        <f>'Risk Score Calculator'!C13</f>
        <v>Straight</v>
      </c>
      <c r="F13" s="72" t="str">
        <f>'Risk Score Calculator'!C15</f>
        <v>Outside</v>
      </c>
    </row>
    <row r="14" spans="1:6" x14ac:dyDescent="0.25">
      <c r="A14" s="150"/>
      <c r="B14" s="63" t="s">
        <v>17</v>
      </c>
      <c r="C14" s="64" t="s">
        <v>68</v>
      </c>
      <c r="D14" s="64" t="s">
        <v>46</v>
      </c>
      <c r="E14" s="75" t="str">
        <f>'Risk Score Calculator'!C14</f>
        <v>Straight</v>
      </c>
      <c r="F14" s="65"/>
    </row>
    <row r="15" spans="1:6" x14ac:dyDescent="0.25">
      <c r="A15" s="150" t="s">
        <v>69</v>
      </c>
      <c r="B15" s="63" t="s">
        <v>70</v>
      </c>
      <c r="C15" s="64" t="s">
        <v>71</v>
      </c>
      <c r="D15" s="64" t="s">
        <v>46</v>
      </c>
      <c r="E15" s="75" t="str">
        <f>'Risk Score Calculator'!C17</f>
        <v>None</v>
      </c>
      <c r="F15" s="65"/>
    </row>
    <row r="16" spans="1:6" ht="30" x14ac:dyDescent="0.25">
      <c r="A16" s="150"/>
      <c r="B16" s="63" t="s">
        <v>72</v>
      </c>
      <c r="C16" s="64" t="s">
        <v>73</v>
      </c>
      <c r="D16" s="64" t="s">
        <v>46</v>
      </c>
      <c r="E16" s="75" t="str">
        <f>'Risk Score Calculator'!C18</f>
        <v>3.0m</v>
      </c>
      <c r="F16" s="65"/>
    </row>
    <row r="17" spans="1:6" x14ac:dyDescent="0.25">
      <c r="A17" s="150" t="s">
        <v>74</v>
      </c>
      <c r="B17" s="63" t="s">
        <v>70</v>
      </c>
      <c r="C17" s="64" t="s">
        <v>75</v>
      </c>
      <c r="D17" s="64" t="s">
        <v>46</v>
      </c>
      <c r="E17" s="75" t="str">
        <f>'Risk Score Calculator'!C20</f>
        <v>None</v>
      </c>
      <c r="F17" s="65"/>
    </row>
    <row r="18" spans="1:6" x14ac:dyDescent="0.25">
      <c r="A18" s="150"/>
      <c r="B18" s="63" t="s">
        <v>76</v>
      </c>
      <c r="C18" s="64" t="s">
        <v>77</v>
      </c>
      <c r="D18" s="64" t="s">
        <v>46</v>
      </c>
      <c r="E18" s="75">
        <f>'Risk Score Calculator'!C21</f>
        <v>1</v>
      </c>
      <c r="F18" s="65"/>
    </row>
    <row r="19" spans="1:6" ht="30" x14ac:dyDescent="0.25">
      <c r="A19" s="150"/>
      <c r="B19" s="63" t="s">
        <v>78</v>
      </c>
      <c r="C19" s="64" t="s">
        <v>79</v>
      </c>
      <c r="D19" s="64" t="s">
        <v>46</v>
      </c>
      <c r="E19" s="75">
        <f>'Risk Score Calculator'!C22</f>
        <v>500</v>
      </c>
      <c r="F19" s="65"/>
    </row>
    <row r="20" spans="1:6" ht="30" x14ac:dyDescent="0.25">
      <c r="A20" s="150"/>
      <c r="B20" s="63" t="s">
        <v>81</v>
      </c>
      <c r="C20" s="64" t="s">
        <v>82</v>
      </c>
      <c r="D20" s="64" t="s">
        <v>46</v>
      </c>
      <c r="E20" s="75" t="str">
        <f>'Risk Score Calculator'!C23</f>
        <v>13.0m</v>
      </c>
      <c r="F20" s="65"/>
    </row>
    <row r="21" spans="1:6" x14ac:dyDescent="0.25">
      <c r="A21" s="151" t="s">
        <v>83</v>
      </c>
      <c r="B21" s="63" t="s">
        <v>84</v>
      </c>
      <c r="C21" s="64" t="s">
        <v>85</v>
      </c>
      <c r="D21" s="64" t="s">
        <v>86</v>
      </c>
      <c r="E21" s="75">
        <f>MAX(Working!G30:G53)</f>
        <v>0.4</v>
      </c>
      <c r="F21" s="65"/>
    </row>
    <row r="22" spans="1:6" x14ac:dyDescent="0.25">
      <c r="A22" s="151"/>
      <c r="B22" s="63" t="s">
        <v>87</v>
      </c>
      <c r="C22" s="64" t="s">
        <v>88</v>
      </c>
      <c r="D22" s="64" t="s">
        <v>89</v>
      </c>
      <c r="E22" s="75">
        <f>MAX(Working!H30:H53)</f>
        <v>1</v>
      </c>
      <c r="F22" s="65"/>
    </row>
    <row r="23" spans="1:6" x14ac:dyDescent="0.25">
      <c r="A23" s="151"/>
      <c r="B23" s="63" t="s">
        <v>90</v>
      </c>
      <c r="C23" s="64" t="s">
        <v>91</v>
      </c>
      <c r="D23" s="64" t="s">
        <v>92</v>
      </c>
      <c r="E23" s="75">
        <f>MAX(Working!I30:I53)</f>
        <v>1.42</v>
      </c>
      <c r="F23" s="65"/>
    </row>
    <row r="24" spans="1:6" x14ac:dyDescent="0.25">
      <c r="A24" s="151"/>
      <c r="B24" s="63" t="s">
        <v>93</v>
      </c>
      <c r="C24" s="64" t="s">
        <v>94</v>
      </c>
      <c r="D24" s="64" t="s">
        <v>92</v>
      </c>
      <c r="E24" s="75">
        <f>MAX(Working!J30:J53)</f>
        <v>1</v>
      </c>
      <c r="F24" s="65"/>
    </row>
    <row r="25" spans="1:6" x14ac:dyDescent="0.25">
      <c r="A25" s="151"/>
      <c r="B25" s="63" t="s">
        <v>95</v>
      </c>
      <c r="C25" s="64" t="s">
        <v>96</v>
      </c>
      <c r="D25" s="64" t="s">
        <v>97</v>
      </c>
      <c r="E25" s="75">
        <f>MAX(Working!K30:K53)</f>
        <v>1</v>
      </c>
      <c r="F25" s="65"/>
    </row>
    <row r="26" spans="1:6" x14ac:dyDescent="0.25">
      <c r="A26" s="151"/>
      <c r="B26" s="63" t="s">
        <v>98</v>
      </c>
      <c r="C26" s="64" t="s">
        <v>99</v>
      </c>
      <c r="D26" s="64" t="s">
        <v>100</v>
      </c>
      <c r="E26" s="75">
        <f>MAX(Working!L30:L53)</f>
        <v>1</v>
      </c>
      <c r="F26" s="65"/>
    </row>
    <row r="27" spans="1:6" x14ac:dyDescent="0.25">
      <c r="A27" s="151"/>
      <c r="B27" s="63" t="s">
        <v>101</v>
      </c>
      <c r="C27" s="64" t="s">
        <v>102</v>
      </c>
      <c r="D27" s="64" t="s">
        <v>103</v>
      </c>
      <c r="E27" s="76">
        <f>PRODUCT(E21:E26)</f>
        <v>0.56799999999999995</v>
      </c>
      <c r="F27" s="65"/>
    </row>
    <row r="28" spans="1:6" ht="30" x14ac:dyDescent="0.25">
      <c r="A28" s="151" t="s">
        <v>104</v>
      </c>
      <c r="B28" s="63" t="s">
        <v>105</v>
      </c>
      <c r="C28" s="64" t="s">
        <v>106</v>
      </c>
      <c r="D28" s="64" t="s">
        <v>107</v>
      </c>
      <c r="E28" s="75">
        <f>MAX(Working!M30:M53)</f>
        <v>0.28999999999999998</v>
      </c>
      <c r="F28" s="65"/>
    </row>
    <row r="29" spans="1:6" ht="45" x14ac:dyDescent="0.25">
      <c r="A29" s="151"/>
      <c r="B29" s="63" t="s">
        <v>108</v>
      </c>
      <c r="C29" s="64" t="s">
        <v>109</v>
      </c>
      <c r="D29" s="64" t="s">
        <v>110</v>
      </c>
      <c r="E29" s="75">
        <f>1-((E18+18)/MIN(E19,E9))</f>
        <v>0.96199999999999997</v>
      </c>
      <c r="F29" s="65"/>
    </row>
    <row r="30" spans="1:6" x14ac:dyDescent="0.25">
      <c r="A30" s="151"/>
      <c r="B30" s="63" t="s">
        <v>111</v>
      </c>
      <c r="C30" s="64" t="s">
        <v>112</v>
      </c>
      <c r="D30" s="64" t="s">
        <v>113</v>
      </c>
      <c r="E30" s="75">
        <f>IF($E$18=1,E28,(E29*E28))</f>
        <v>0.28999999999999998</v>
      </c>
      <c r="F30" s="65"/>
    </row>
    <row r="31" spans="1:6" ht="30" x14ac:dyDescent="0.25">
      <c r="A31" s="151"/>
      <c r="B31" s="63" t="s">
        <v>114</v>
      </c>
      <c r="C31" s="64" t="s">
        <v>115</v>
      </c>
      <c r="D31" s="64" t="s">
        <v>107</v>
      </c>
      <c r="E31" s="75">
        <f>MAX(Working!N30:N53)</f>
        <v>5.0000000000000001E-3</v>
      </c>
      <c r="F31" s="65"/>
    </row>
    <row r="32" spans="1:6" x14ac:dyDescent="0.25">
      <c r="A32" s="151"/>
      <c r="B32" s="63" t="s">
        <v>116</v>
      </c>
      <c r="C32" s="64" t="s">
        <v>117</v>
      </c>
      <c r="D32" s="64" t="s">
        <v>118</v>
      </c>
      <c r="E32" s="76">
        <f>E31*((E18+18)/MIN(E19,E9))</f>
        <v>1.9000000000000001E-4</v>
      </c>
      <c r="F32" s="65" t="s">
        <v>119</v>
      </c>
    </row>
    <row r="33" spans="1:6" x14ac:dyDescent="0.25">
      <c r="A33" s="151"/>
      <c r="B33" s="63" t="s">
        <v>120</v>
      </c>
      <c r="C33" s="64" t="s">
        <v>121</v>
      </c>
      <c r="D33" s="64" t="s">
        <v>122</v>
      </c>
      <c r="E33" s="76">
        <f>MAX(Working!O30:O53)</f>
        <v>0</v>
      </c>
      <c r="F33" s="73">
        <f>'Risk Score Calculator'!C25</f>
        <v>0</v>
      </c>
    </row>
    <row r="34" spans="1:6" ht="30" x14ac:dyDescent="0.25">
      <c r="A34" s="150" t="s">
        <v>123</v>
      </c>
      <c r="B34" s="63" t="s">
        <v>124</v>
      </c>
      <c r="C34" s="64" t="s">
        <v>125</v>
      </c>
      <c r="D34" s="64" t="s">
        <v>126</v>
      </c>
      <c r="E34" s="75">
        <f>MAX(Working!P30:P53)</f>
        <v>0</v>
      </c>
      <c r="F34" s="65"/>
    </row>
    <row r="35" spans="1:6" ht="30" x14ac:dyDescent="0.25">
      <c r="A35" s="150"/>
      <c r="B35" s="63" t="s">
        <v>127</v>
      </c>
      <c r="C35" s="64" t="s">
        <v>128</v>
      </c>
      <c r="D35" s="64" t="s">
        <v>129</v>
      </c>
      <c r="E35" s="76">
        <f>MAX(Working!Q30:Q53)</f>
        <v>0</v>
      </c>
      <c r="F35" s="65"/>
    </row>
    <row r="36" spans="1:6" ht="30" x14ac:dyDescent="0.25">
      <c r="A36" s="150"/>
      <c r="B36" s="63" t="s">
        <v>130</v>
      </c>
      <c r="C36" s="64" t="s">
        <v>131</v>
      </c>
      <c r="D36" s="64" t="s">
        <v>132</v>
      </c>
      <c r="E36" s="75">
        <f>MAX(Working!R30:R53)</f>
        <v>0</v>
      </c>
      <c r="F36" s="65"/>
    </row>
    <row r="37" spans="1:6" ht="30" x14ac:dyDescent="0.25">
      <c r="A37" s="150"/>
      <c r="B37" s="63" t="s">
        <v>133</v>
      </c>
      <c r="C37" s="64" t="s">
        <v>134</v>
      </c>
      <c r="D37" s="64" t="s">
        <v>129</v>
      </c>
      <c r="E37" s="76">
        <f>MAX(Working!S30:S53)</f>
        <v>0</v>
      </c>
      <c r="F37" s="65"/>
    </row>
    <row r="38" spans="1:6" x14ac:dyDescent="0.25">
      <c r="A38" s="150"/>
      <c r="B38" s="63" t="s">
        <v>530</v>
      </c>
      <c r="C38" s="64" t="s">
        <v>136</v>
      </c>
      <c r="D38" s="64">
        <v>0.63</v>
      </c>
      <c r="E38" s="75">
        <v>0.63</v>
      </c>
      <c r="F38" s="65"/>
    </row>
    <row r="39" spans="1:6" ht="45" x14ac:dyDescent="0.25">
      <c r="A39" s="151" t="s">
        <v>137</v>
      </c>
      <c r="B39" s="63" t="s">
        <v>138</v>
      </c>
      <c r="C39" s="64" t="s">
        <v>139</v>
      </c>
      <c r="D39" s="64" t="s">
        <v>140</v>
      </c>
      <c r="E39" s="76">
        <f>'Risk Score Calculator'!C29</f>
        <v>0</v>
      </c>
      <c r="F39" s="65"/>
    </row>
    <row r="40" spans="1:6" ht="45" x14ac:dyDescent="0.25">
      <c r="A40" s="151"/>
      <c r="B40" s="63" t="s">
        <v>141</v>
      </c>
      <c r="C40" s="64" t="s">
        <v>142</v>
      </c>
      <c r="D40" s="64" t="s">
        <v>143</v>
      </c>
      <c r="E40" s="76">
        <f>'Risk Score Calculator'!C30</f>
        <v>0</v>
      </c>
      <c r="F40" s="65"/>
    </row>
    <row r="41" spans="1:6" ht="30.75" thickBot="1" x14ac:dyDescent="0.3">
      <c r="A41" s="151"/>
      <c r="B41" s="63" t="s">
        <v>144</v>
      </c>
      <c r="C41" s="64" t="s">
        <v>145</v>
      </c>
      <c r="D41" s="64" t="s">
        <v>146</v>
      </c>
      <c r="E41" s="77">
        <f>'Risk Score Calculator'!C31</f>
        <v>0</v>
      </c>
      <c r="F41" s="65"/>
    </row>
    <row r="42" spans="1:6" ht="15.75" thickBot="1" x14ac:dyDescent="0.3">
      <c r="A42" s="152"/>
      <c r="B42" s="60" t="s">
        <v>437</v>
      </c>
      <c r="C42" s="61" t="s">
        <v>148</v>
      </c>
      <c r="D42" s="62" t="s">
        <v>149</v>
      </c>
      <c r="E42" s="122">
        <f>'Risk Score Calculator'!C32</f>
        <v>0</v>
      </c>
      <c r="F42" s="78" t="s">
        <v>555</v>
      </c>
    </row>
    <row r="43" spans="1:6" x14ac:dyDescent="0.25">
      <c r="A43" s="147" t="s">
        <v>436</v>
      </c>
      <c r="B43" s="147"/>
      <c r="C43" s="147"/>
      <c r="D43" s="147"/>
      <c r="E43" s="147"/>
      <c r="F43" s="147"/>
    </row>
  </sheetData>
  <sheetProtection algorithmName="SHA-512" hashValue="FFR/Um23GhDFQeP+6FS9cI51BNQPywfGpCrhpi8JjyBKcCbyQttoKafJla6ELN6qP0v19F5EBVjsMF2vHQVHIQ==" saltValue="mJzyjW4X86FQkaztSVFQVw==" spinCount="100000" sheet="1" objects="1" scenarios="1"/>
  <mergeCells count="10">
    <mergeCell ref="A43:F43"/>
    <mergeCell ref="E1:F1"/>
    <mergeCell ref="A34:A38"/>
    <mergeCell ref="A39:A42"/>
    <mergeCell ref="A2:A9"/>
    <mergeCell ref="A10:A14"/>
    <mergeCell ref="A15:A16"/>
    <mergeCell ref="A17:A20"/>
    <mergeCell ref="A21:A27"/>
    <mergeCell ref="A28:A33"/>
  </mergeCells>
  <conditionalFormatting sqref="E16">
    <cfRule type="expression" dxfId="2" priority="3">
      <formula>$E$15="None"</formula>
    </cfRule>
  </conditionalFormatting>
  <conditionalFormatting sqref="E18:E20">
    <cfRule type="expression" dxfId="1" priority="2">
      <formula>$E$17="None"</formula>
    </cfRule>
  </conditionalFormatting>
  <conditionalFormatting sqref="F13">
    <cfRule type="expression" dxfId="0" priority="1">
      <formula>$E$13="Straight"</formula>
    </cfRule>
  </conditionalFormatting>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40269-BCEB-49B5-81C6-8B08806225F0}">
  <dimension ref="B2:S53"/>
  <sheetViews>
    <sheetView topLeftCell="A22" workbookViewId="0">
      <selection activeCell="E2" sqref="E2"/>
    </sheetView>
  </sheetViews>
  <sheetFormatPr defaultRowHeight="15" x14ac:dyDescent="0.25"/>
  <cols>
    <col min="2" max="2" width="23.85546875" bestFit="1" customWidth="1"/>
    <col min="4" max="4" width="11.85546875" bestFit="1" customWidth="1"/>
    <col min="7" max="7" width="16.5703125" customWidth="1"/>
    <col min="8" max="8" width="10.5703125" customWidth="1"/>
    <col min="9" max="9" width="8.5703125" customWidth="1"/>
    <col min="10" max="10" width="8.140625" customWidth="1"/>
    <col min="11" max="11" width="7.5703125" customWidth="1"/>
    <col min="12" max="12" width="12.5703125" customWidth="1"/>
    <col min="13" max="13" width="14.28515625" customWidth="1"/>
    <col min="14" max="14" width="17.42578125" customWidth="1"/>
    <col min="16" max="16" width="16.28515625" customWidth="1"/>
    <col min="17" max="17" width="14.28515625" customWidth="1"/>
    <col min="18" max="18" width="14.85546875" customWidth="1"/>
    <col min="19" max="19" width="15.42578125" customWidth="1"/>
  </cols>
  <sheetData>
    <row r="2" spans="2:19" x14ac:dyDescent="0.25">
      <c r="B2" t="str">
        <f>CONCATENATE('Risk Score Calculator'!C4,"-",'Risk Score Calculator'!C3,"-",'Risk Score Calculator'!C5)</f>
        <v>60 km/h-Urban-Undivided</v>
      </c>
    </row>
    <row r="3" spans="2:19" s="46" customFormat="1" ht="105" x14ac:dyDescent="0.25">
      <c r="C3" s="57" t="s">
        <v>435</v>
      </c>
      <c r="D3" s="46" t="s">
        <v>396</v>
      </c>
      <c r="E3" s="46" t="s">
        <v>395</v>
      </c>
      <c r="F3" s="46" t="s">
        <v>397</v>
      </c>
      <c r="G3" s="46" t="s">
        <v>84</v>
      </c>
      <c r="H3" s="46" t="s">
        <v>87</v>
      </c>
      <c r="I3" s="46" t="s">
        <v>90</v>
      </c>
      <c r="J3" s="46" t="s">
        <v>93</v>
      </c>
      <c r="K3" s="46" t="s">
        <v>95</v>
      </c>
      <c r="L3" s="46" t="s">
        <v>98</v>
      </c>
      <c r="M3" s="46" t="s">
        <v>105</v>
      </c>
      <c r="N3" s="46" t="s">
        <v>114</v>
      </c>
      <c r="O3" s="46" t="s">
        <v>120</v>
      </c>
      <c r="P3" s="46" t="s">
        <v>124</v>
      </c>
      <c r="Q3" s="46" t="s">
        <v>127</v>
      </c>
      <c r="R3" s="46" t="s">
        <v>130</v>
      </c>
      <c r="S3" s="46" t="s">
        <v>133</v>
      </c>
    </row>
    <row r="4" spans="2:19" x14ac:dyDescent="0.25">
      <c r="B4" t="s">
        <v>399</v>
      </c>
      <c r="C4" s="58">
        <f>IF($B$2="60 km/h-Urban-Undivided",999,0)</f>
        <v>999</v>
      </c>
      <c r="D4" s="25">
        <f>'1.1 60 U'!E39</f>
        <v>0</v>
      </c>
      <c r="E4" s="25">
        <f>'1.1 60 U'!E40</f>
        <v>0</v>
      </c>
      <c r="F4" s="25">
        <f>'1.1 60 U'!E41</f>
        <v>0</v>
      </c>
      <c r="G4">
        <f>'1.1 60 U'!E21</f>
        <v>0.4</v>
      </c>
      <c r="H4">
        <f>'1.1 60 U'!E22</f>
        <v>1</v>
      </c>
      <c r="I4">
        <f>'1.1 60 U'!E23</f>
        <v>1.42</v>
      </c>
      <c r="J4">
        <f>'1.1 60 U'!E24</f>
        <v>1</v>
      </c>
      <c r="K4">
        <f>'1.1 60 U'!E25</f>
        <v>1</v>
      </c>
      <c r="L4">
        <f>'1.1 60 U'!E26</f>
        <v>1</v>
      </c>
      <c r="M4" s="25">
        <f>'1.1 60 U'!E28</f>
        <v>0.28999999999999998</v>
      </c>
      <c r="N4" s="25">
        <f>'1.1 60 U'!E31</f>
        <v>5.0000000000000001E-3</v>
      </c>
      <c r="O4" s="25">
        <f>'1.1 60 U'!E33</f>
        <v>0</v>
      </c>
      <c r="P4" s="25">
        <f>'1.1 60 U'!E34</f>
        <v>0</v>
      </c>
      <c r="Q4" s="25">
        <f>'1.1 60 U'!E35</f>
        <v>0</v>
      </c>
      <c r="R4" s="25">
        <f>'1.1 60 U'!E36</f>
        <v>0</v>
      </c>
      <c r="S4" s="25">
        <f>'1.1 60 U'!E37</f>
        <v>0</v>
      </c>
    </row>
    <row r="5" spans="2:19" x14ac:dyDescent="0.25">
      <c r="B5" t="s">
        <v>400</v>
      </c>
      <c r="C5" s="58">
        <f>IF($B$2="70 km/h-Urban-Undivided",999,0)</f>
        <v>0</v>
      </c>
      <c r="D5" s="25">
        <f>'1.2 70 U'!E39</f>
        <v>0</v>
      </c>
      <c r="E5" s="25">
        <f>'1.2 70 U'!E40</f>
        <v>0</v>
      </c>
      <c r="F5" s="25">
        <f>'1.2 70 U'!E41</f>
        <v>0</v>
      </c>
      <c r="G5">
        <f>'1.2 70 U'!E21</f>
        <v>0.4</v>
      </c>
      <c r="H5">
        <f>'1.2 70 U'!E22</f>
        <v>1</v>
      </c>
      <c r="I5">
        <f>'1.2 70 U'!E23</f>
        <v>1.42</v>
      </c>
      <c r="J5">
        <f>'1.2 70 U'!E24</f>
        <v>1</v>
      </c>
      <c r="K5">
        <f>'1.2 70 U'!E25</f>
        <v>1</v>
      </c>
      <c r="L5">
        <f>'1.2 70 U'!E26</f>
        <v>1</v>
      </c>
      <c r="M5" s="25">
        <f>'1.2 70 U'!E28</f>
        <v>0.28999999999999998</v>
      </c>
      <c r="N5" s="25">
        <f>'1.2 70 U'!E31</f>
        <v>5.0000000000000001E-3</v>
      </c>
      <c r="O5" s="25">
        <f>'1.2 70 U'!E33</f>
        <v>0</v>
      </c>
      <c r="P5" s="25">
        <f>'1.2 70 U'!E34</f>
        <v>0</v>
      </c>
      <c r="Q5" s="25">
        <f>'1.2 70 U'!E35</f>
        <v>0</v>
      </c>
      <c r="R5" s="25">
        <f>'1.2 70 U'!E36</f>
        <v>0</v>
      </c>
      <c r="S5" s="25">
        <f>'1.2 70 U'!E37</f>
        <v>0</v>
      </c>
    </row>
    <row r="6" spans="2:19" x14ac:dyDescent="0.25">
      <c r="B6" t="s">
        <v>401</v>
      </c>
      <c r="C6" s="58">
        <f>IF($B$2="80 km/h-Urban-Undivided",999,0)</f>
        <v>0</v>
      </c>
      <c r="D6" s="25">
        <f>'1.3 80 U'!E39</f>
        <v>0</v>
      </c>
      <c r="E6" s="25">
        <f>'1.3 80 U'!E40</f>
        <v>0</v>
      </c>
      <c r="F6" s="25">
        <f>'1.3 80 U'!E41</f>
        <v>0</v>
      </c>
      <c r="G6">
        <f>'1.3 80 U'!E21</f>
        <v>0.4</v>
      </c>
      <c r="H6">
        <f>'1.3 80 U'!E22</f>
        <v>1</v>
      </c>
      <c r="I6">
        <f>'1.3 80 U'!E23</f>
        <v>1.42</v>
      </c>
      <c r="J6">
        <f>'1.3 80 U'!E24</f>
        <v>1</v>
      </c>
      <c r="K6">
        <f>'1.3 80 U'!E25</f>
        <v>1</v>
      </c>
      <c r="L6">
        <f>'1.3 80 U'!E26</f>
        <v>1</v>
      </c>
      <c r="M6" s="25">
        <f>'1.3 80 U'!E28</f>
        <v>0.48</v>
      </c>
      <c r="N6" s="25">
        <f>'1.3 80 U'!E31</f>
        <v>0.04</v>
      </c>
      <c r="O6" s="25">
        <f>'1.3 80 U'!E33</f>
        <v>0</v>
      </c>
      <c r="P6" s="25">
        <f>'1.3 80 U'!E34</f>
        <v>0</v>
      </c>
      <c r="Q6" s="25">
        <f>'1.3 80 U'!E35</f>
        <v>0</v>
      </c>
      <c r="R6" s="25">
        <f>'1.3 80 U'!E36</f>
        <v>0</v>
      </c>
      <c r="S6" s="25">
        <f>'1.3 80 U'!E37</f>
        <v>0</v>
      </c>
    </row>
    <row r="7" spans="2:19" x14ac:dyDescent="0.25">
      <c r="B7" t="s">
        <v>402</v>
      </c>
      <c r="C7" s="58">
        <f>IF($B$2="90 km/h-Urban-Undivided",999,0)</f>
        <v>0</v>
      </c>
      <c r="D7" s="25">
        <f>'1.4 90 U'!E39</f>
        <v>0</v>
      </c>
      <c r="E7" s="25">
        <f>'1.4 90 U'!E40</f>
        <v>0</v>
      </c>
      <c r="F7" s="25">
        <f>'1.4 90 U'!E41</f>
        <v>0</v>
      </c>
      <c r="G7">
        <f>'1.4 90 U'!E21</f>
        <v>0.4</v>
      </c>
      <c r="H7">
        <f>'1.4 90 U'!E22</f>
        <v>1</v>
      </c>
      <c r="I7">
        <f>'1.4 90 U'!E23</f>
        <v>1.42</v>
      </c>
      <c r="J7">
        <f>'1.4 90 U'!E24</f>
        <v>1</v>
      </c>
      <c r="K7">
        <f>'1.4 90 U'!E25</f>
        <v>1</v>
      </c>
      <c r="L7">
        <f>'1.4 90 U'!E26</f>
        <v>1</v>
      </c>
      <c r="M7" s="25">
        <f>'1.4 90 U'!E28</f>
        <v>0.48</v>
      </c>
      <c r="N7" s="25">
        <f>'1.4 90 U'!E31</f>
        <v>0.04</v>
      </c>
      <c r="O7" s="25">
        <f>'1.4 90 U'!E33</f>
        <v>0</v>
      </c>
      <c r="P7" s="25">
        <f>'1.4 90 U'!E34</f>
        <v>0</v>
      </c>
      <c r="Q7" s="25">
        <f>'1.4 90 U'!E35</f>
        <v>0</v>
      </c>
      <c r="R7" s="25">
        <f>'1.4 90 U'!E36</f>
        <v>0</v>
      </c>
      <c r="S7" s="25">
        <f>'1.4 90 U'!E37</f>
        <v>0</v>
      </c>
    </row>
    <row r="8" spans="2:19" x14ac:dyDescent="0.25">
      <c r="B8" t="s">
        <v>403</v>
      </c>
      <c r="C8" s="58">
        <f>IF($B$2="100 km/h-Urban-Undivided",999,0)</f>
        <v>0</v>
      </c>
      <c r="D8" s="25">
        <f>'1.5 100 U'!E39</f>
        <v>0</v>
      </c>
      <c r="E8" s="25">
        <f>'1.5 100 U'!E40</f>
        <v>0</v>
      </c>
      <c r="F8" s="25">
        <f>'1.5 100 U'!E41</f>
        <v>0</v>
      </c>
      <c r="G8">
        <f>'1.5 100 U'!E21</f>
        <v>0.4</v>
      </c>
      <c r="H8">
        <f>'1.5 100 U'!E22</f>
        <v>1</v>
      </c>
      <c r="I8">
        <f>'1.5 100 U'!E23</f>
        <v>1.42</v>
      </c>
      <c r="J8">
        <f>'1.5 100 U'!E24</f>
        <v>1</v>
      </c>
      <c r="K8">
        <f>'1.5 100 U'!E25</f>
        <v>1</v>
      </c>
      <c r="L8">
        <f>'1.5 100 U'!E26</f>
        <v>1</v>
      </c>
      <c r="M8" s="25">
        <f>'1.5 100 U'!E28</f>
        <v>0.61</v>
      </c>
      <c r="N8" s="25">
        <f>'1.5 100 U'!E31</f>
        <v>0.12</v>
      </c>
      <c r="O8" s="25">
        <f>'1.5 100 U'!E33</f>
        <v>0</v>
      </c>
      <c r="P8" s="25">
        <f>'1.5 100 U'!E34</f>
        <v>0</v>
      </c>
      <c r="Q8" s="25">
        <f>'1.5 100 U'!E35</f>
        <v>0</v>
      </c>
      <c r="R8" s="25">
        <f>'1.5 100 U'!E36</f>
        <v>0</v>
      </c>
      <c r="S8" s="25">
        <f>'1.5 100 U'!E37</f>
        <v>0</v>
      </c>
    </row>
    <row r="9" spans="2:19" x14ac:dyDescent="0.25">
      <c r="B9" t="s">
        <v>404</v>
      </c>
      <c r="C9" s="58">
        <f>IF($B$2="110 km/h-Urban-Undivided",999,0)</f>
        <v>0</v>
      </c>
      <c r="D9" s="25">
        <f>'1.6 110 U'!E39</f>
        <v>0</v>
      </c>
      <c r="E9" s="25">
        <f>'1.6 110 U'!E40</f>
        <v>0</v>
      </c>
      <c r="F9" s="25">
        <f>'1.6 110 U'!E41</f>
        <v>0</v>
      </c>
      <c r="G9">
        <f>'1.6 110 U'!E21</f>
        <v>0.4</v>
      </c>
      <c r="H9">
        <f>'1.6 110 U'!E22</f>
        <v>1</v>
      </c>
      <c r="I9">
        <f>'1.6 110 U'!E23</f>
        <v>1.42</v>
      </c>
      <c r="J9">
        <f>'1.6 110 U'!E24</f>
        <v>1</v>
      </c>
      <c r="K9">
        <f>'1.6 110 U'!E25</f>
        <v>1</v>
      </c>
      <c r="L9">
        <f>'1.6 110 U'!E26</f>
        <v>1</v>
      </c>
      <c r="M9" s="25">
        <f>'1.6 110 U'!E28</f>
        <v>0.61</v>
      </c>
      <c r="N9" s="25">
        <f>'1.6 110 U'!E31</f>
        <v>0.12</v>
      </c>
      <c r="O9" s="25">
        <f>'1.6 110 U'!E33</f>
        <v>0</v>
      </c>
      <c r="P9" s="25">
        <f>'1.6 110 U'!E34</f>
        <v>0</v>
      </c>
      <c r="Q9" s="25">
        <f>'1.6 110 U'!E35</f>
        <v>0</v>
      </c>
      <c r="R9" s="25">
        <f>'1.6 110 U'!E36</f>
        <v>0</v>
      </c>
      <c r="S9" s="25">
        <f>'1.6 110 U'!E37</f>
        <v>0</v>
      </c>
    </row>
    <row r="10" spans="2:19" x14ac:dyDescent="0.25">
      <c r="B10" t="s">
        <v>405</v>
      </c>
      <c r="C10" s="58">
        <f>IF($B$2="60 km/h-Urban-Divided",999,0)</f>
        <v>0</v>
      </c>
      <c r="D10" s="25">
        <f>'2.1 60 D'!E39</f>
        <v>0</v>
      </c>
      <c r="E10" s="25">
        <f>'2.1 60 D'!E40</f>
        <v>0</v>
      </c>
      <c r="F10" s="25">
        <f>'2.1 60 D'!E41</f>
        <v>0</v>
      </c>
      <c r="G10">
        <f>'2.1 60 D'!E21</f>
        <v>0.24</v>
      </c>
      <c r="H10">
        <f>'2.1 60 D'!E22</f>
        <v>1</v>
      </c>
      <c r="I10">
        <f>'2.1 60 D'!E23</f>
        <v>1</v>
      </c>
      <c r="J10">
        <f>'2.1 60 D'!E24</f>
        <v>1</v>
      </c>
      <c r="K10">
        <f>'2.1 60 D'!E25</f>
        <v>1</v>
      </c>
      <c r="L10">
        <f>'2.1 60 D'!E26</f>
        <v>1</v>
      </c>
      <c r="M10" s="25">
        <f>'2.1 60 D'!E28</f>
        <v>0.28999999999999998</v>
      </c>
      <c r="N10" s="25">
        <f>'2.1 60 D'!E31</f>
        <v>5.0000000000000001E-3</v>
      </c>
      <c r="O10" s="25">
        <f>'2.1 60 D'!E33</f>
        <v>0</v>
      </c>
      <c r="P10" s="25">
        <f>'2.1 60 D'!E34</f>
        <v>0</v>
      </c>
      <c r="Q10" s="25">
        <f>'2.1 60 D'!E35</f>
        <v>0</v>
      </c>
      <c r="R10" s="25">
        <f>'2.1 60 D'!E36</f>
        <v>0</v>
      </c>
      <c r="S10" s="25">
        <f>'2.1 60 D'!E37</f>
        <v>0</v>
      </c>
    </row>
    <row r="11" spans="2:19" x14ac:dyDescent="0.25">
      <c r="B11" t="s">
        <v>406</v>
      </c>
      <c r="C11" s="58">
        <f>IF($B$2="70 km/h-Urban-Divided",999,0)</f>
        <v>0</v>
      </c>
      <c r="D11" s="25">
        <f>'2.2 70 D'!E39</f>
        <v>0</v>
      </c>
      <c r="E11" s="25">
        <f>'2.2 70 D'!E40</f>
        <v>0</v>
      </c>
      <c r="F11" s="25">
        <f>'2.2 70 D'!E41</f>
        <v>0</v>
      </c>
      <c r="G11">
        <f>'2.2 70 D'!E21</f>
        <v>0.24</v>
      </c>
      <c r="H11">
        <f>'2.2 70 D'!E22</f>
        <v>1</v>
      </c>
      <c r="I11">
        <f>'2.2 70 D'!E23</f>
        <v>1</v>
      </c>
      <c r="J11">
        <f>'2.2 70 D'!E24</f>
        <v>1</v>
      </c>
      <c r="K11">
        <f>'2.2 70 D'!E25</f>
        <v>1</v>
      </c>
      <c r="L11">
        <f>'2.2 70 D'!E26</f>
        <v>1</v>
      </c>
      <c r="M11" s="25">
        <f>'2.2 70 D'!E28</f>
        <v>0.28999999999999998</v>
      </c>
      <c r="N11" s="25">
        <f>'2.2 70 D'!E31</f>
        <v>5.0000000000000001E-3</v>
      </c>
      <c r="O11" s="25">
        <f>'2.2 70 D'!E33</f>
        <v>0</v>
      </c>
      <c r="P11" s="25">
        <f>'2.2 70 D'!E34</f>
        <v>0</v>
      </c>
      <c r="Q11" s="25">
        <f>'2.2 70 D'!E35</f>
        <v>0</v>
      </c>
      <c r="R11" s="25">
        <f>'2.2 70 D'!E36</f>
        <v>0</v>
      </c>
      <c r="S11" s="25">
        <f>'2.2 70 D'!E37</f>
        <v>0</v>
      </c>
    </row>
    <row r="12" spans="2:19" x14ac:dyDescent="0.25">
      <c r="B12" t="s">
        <v>407</v>
      </c>
      <c r="C12" s="58">
        <f>IF($B$2="80 km/h-Urban-Divided",999,0)</f>
        <v>0</v>
      </c>
      <c r="D12" s="25">
        <f>'2.3 80 D'!E39</f>
        <v>0</v>
      </c>
      <c r="E12" s="25">
        <f>'2.3 80 D'!E40</f>
        <v>0</v>
      </c>
      <c r="F12" s="25">
        <f>'2.3 80 D'!E41</f>
        <v>0</v>
      </c>
      <c r="G12">
        <f>'2.3 80 D'!E21</f>
        <v>0.24</v>
      </c>
      <c r="H12">
        <f>'2.3 80 D'!E22</f>
        <v>1</v>
      </c>
      <c r="I12">
        <f>'2.3 80 D'!E23</f>
        <v>1</v>
      </c>
      <c r="J12">
        <f>'2.3 80 D'!E24</f>
        <v>1</v>
      </c>
      <c r="K12">
        <f>'2.3 80 D'!E25</f>
        <v>1</v>
      </c>
      <c r="L12">
        <f>'2.3 80 D'!E26</f>
        <v>1</v>
      </c>
      <c r="M12" s="25">
        <f>'2.3 80 D'!E28</f>
        <v>0.48</v>
      </c>
      <c r="N12" s="25">
        <f>'2.3 80 D'!E31</f>
        <v>0.04</v>
      </c>
      <c r="O12" s="25">
        <f>'2.3 80 D'!E33</f>
        <v>0</v>
      </c>
      <c r="P12" s="25">
        <f>'2.3 80 D'!E34</f>
        <v>0</v>
      </c>
      <c r="Q12" s="25">
        <f>'2.3 80 D'!E35</f>
        <v>0</v>
      </c>
      <c r="R12" s="25">
        <f>'2.3 80 D'!E36</f>
        <v>0</v>
      </c>
      <c r="S12" s="25">
        <f>'2.3 80 D'!E37</f>
        <v>0</v>
      </c>
    </row>
    <row r="13" spans="2:19" x14ac:dyDescent="0.25">
      <c r="B13" t="s">
        <v>408</v>
      </c>
      <c r="C13" s="58">
        <f>IF($B$2="90 km/h-Urban-Divided",999,0)</f>
        <v>0</v>
      </c>
      <c r="D13" s="25">
        <f>'2.4 90 D'!E39</f>
        <v>0</v>
      </c>
      <c r="E13" s="25">
        <f>'2.4 90 D'!E40</f>
        <v>0</v>
      </c>
      <c r="F13" s="25">
        <f>'2.4 90 D'!E41</f>
        <v>0</v>
      </c>
      <c r="G13">
        <f>'2.4 90 D'!E21</f>
        <v>0.24</v>
      </c>
      <c r="H13">
        <f>'2.4 90 D'!E22</f>
        <v>1</v>
      </c>
      <c r="I13">
        <f>'2.4 90 D'!E23</f>
        <v>1</v>
      </c>
      <c r="J13">
        <f>'2.4 90 D'!E24</f>
        <v>1</v>
      </c>
      <c r="K13">
        <f>'2.4 90 D'!E25</f>
        <v>1</v>
      </c>
      <c r="L13">
        <f>'2.4 90 D'!E26</f>
        <v>1</v>
      </c>
      <c r="M13" s="25">
        <f>'2.4 90 D'!E28</f>
        <v>0.48</v>
      </c>
      <c r="N13" s="25">
        <f>'2.4 90 D'!E31</f>
        <v>0.04</v>
      </c>
      <c r="O13" s="25">
        <f>'2.4 90 D'!E33</f>
        <v>0</v>
      </c>
      <c r="P13" s="25">
        <f>'2.4 90 D'!E34</f>
        <v>0</v>
      </c>
      <c r="Q13" s="25">
        <f>'2.4 90 D'!E35</f>
        <v>0</v>
      </c>
      <c r="R13" s="25">
        <f>'2.4 90 D'!E36</f>
        <v>0</v>
      </c>
      <c r="S13" s="25">
        <f>'2.4 90 D'!E37</f>
        <v>0</v>
      </c>
    </row>
    <row r="14" spans="2:19" x14ac:dyDescent="0.25">
      <c r="B14" t="s">
        <v>409</v>
      </c>
      <c r="C14" s="58">
        <f>IF($B$2="100 km/h-Urban-Divided",999,0)</f>
        <v>0</v>
      </c>
      <c r="D14" s="25">
        <f>'2.5 100 D'!E39</f>
        <v>0</v>
      </c>
      <c r="E14" s="25">
        <f>'2.5 100 D'!E40</f>
        <v>0</v>
      </c>
      <c r="F14" s="25">
        <f>'2.5 100 D'!E41</f>
        <v>0</v>
      </c>
      <c r="G14">
        <f>'2.5 100 D'!E21</f>
        <v>0.24</v>
      </c>
      <c r="H14">
        <f>'2.5 100 D'!E22</f>
        <v>1</v>
      </c>
      <c r="I14">
        <f>'2.5 100 D'!E23</f>
        <v>1</v>
      </c>
      <c r="J14">
        <f>'2.5 100 D'!E24</f>
        <v>1</v>
      </c>
      <c r="K14">
        <f>'2.5 100 D'!E25</f>
        <v>1</v>
      </c>
      <c r="L14">
        <f>'2.5 100 D'!E26</f>
        <v>1</v>
      </c>
      <c r="M14" s="25">
        <f>'2.5 100 D'!E28</f>
        <v>0.61</v>
      </c>
      <c r="N14" s="25">
        <f>'2.5 100 D'!E31</f>
        <v>0.12</v>
      </c>
      <c r="O14" s="25">
        <f>'2.5 100 D'!E33</f>
        <v>0</v>
      </c>
      <c r="P14" s="25">
        <f>'2.5 100 D'!E34</f>
        <v>0</v>
      </c>
      <c r="Q14" s="25">
        <f>'2.5 100 D'!E35</f>
        <v>0</v>
      </c>
      <c r="R14" s="25">
        <f>'2.5 100 D'!E36</f>
        <v>0</v>
      </c>
      <c r="S14" s="25">
        <f>'2.5 100 D'!E37</f>
        <v>0</v>
      </c>
    </row>
    <row r="15" spans="2:19" x14ac:dyDescent="0.25">
      <c r="B15" t="s">
        <v>410</v>
      </c>
      <c r="C15" s="58">
        <f>IF($B$2="110 km/h-Urban-Divided",999,0)</f>
        <v>0</v>
      </c>
      <c r="D15" s="25">
        <f>'2.6 110 D'!E39</f>
        <v>0</v>
      </c>
      <c r="E15" s="25">
        <f>'2.6 110 D'!E40</f>
        <v>0</v>
      </c>
      <c r="F15" s="25">
        <f>'2.6 110 D'!E41</f>
        <v>0</v>
      </c>
      <c r="G15">
        <f>'2.6 110 D'!E21</f>
        <v>0.24</v>
      </c>
      <c r="H15">
        <f>'2.6 110 D'!E22</f>
        <v>1</v>
      </c>
      <c r="I15">
        <f>'2.6 110 D'!E23</f>
        <v>1</v>
      </c>
      <c r="J15">
        <f>'2.6 110 D'!E24</f>
        <v>1</v>
      </c>
      <c r="K15">
        <f>'2.6 110 D'!E25</f>
        <v>1</v>
      </c>
      <c r="L15">
        <f>'2.6 110 D'!E26</f>
        <v>1</v>
      </c>
      <c r="M15" s="25">
        <f>'2.6 110 D'!E28</f>
        <v>0.61</v>
      </c>
      <c r="N15" s="25">
        <f>'2.6 110 D'!E31</f>
        <v>0.12</v>
      </c>
      <c r="O15" s="25">
        <f>'2.6 110 D'!E33</f>
        <v>0</v>
      </c>
      <c r="P15" s="25">
        <f>'2.6 110 D'!E34</f>
        <v>0</v>
      </c>
      <c r="Q15" s="25">
        <f>'2.6 110 D'!E35</f>
        <v>0</v>
      </c>
      <c r="R15" s="25">
        <f>'2.6 110 D'!E36</f>
        <v>0</v>
      </c>
      <c r="S15" s="25">
        <f>'2.6 110 D'!E37</f>
        <v>0</v>
      </c>
    </row>
    <row r="16" spans="2:19" x14ac:dyDescent="0.25">
      <c r="B16" t="s">
        <v>411</v>
      </c>
      <c r="C16" s="58">
        <f>IF($B$2="60 km/h-Rural-Undivided",999,0)</f>
        <v>0</v>
      </c>
      <c r="D16" s="25">
        <f>'3.1 60 U'!E39</f>
        <v>0</v>
      </c>
      <c r="E16" s="25">
        <f>'3.1 60 U'!E40</f>
        <v>0</v>
      </c>
      <c r="F16" s="25">
        <f>'3.1 60 U'!E41</f>
        <v>0</v>
      </c>
      <c r="G16">
        <f>'3.1 60 U'!E21</f>
        <v>0.4</v>
      </c>
      <c r="H16">
        <f>'3.1 60 U'!E22</f>
        <v>1</v>
      </c>
      <c r="I16">
        <f>'3.1 60 U'!E23</f>
        <v>1</v>
      </c>
      <c r="J16">
        <f>'3.1 60 U'!E24</f>
        <v>1</v>
      </c>
      <c r="K16">
        <f>'3.1 60 U'!E25</f>
        <v>1</v>
      </c>
      <c r="L16">
        <f>'3.1 60 U'!E26</f>
        <v>1</v>
      </c>
      <c r="M16" s="25">
        <f>'3.1 60 U'!E28</f>
        <v>0.28999999999999998</v>
      </c>
      <c r="N16" s="25">
        <f>'3.1 60 U'!E31</f>
        <v>5.0000000000000001E-3</v>
      </c>
      <c r="O16" s="25">
        <f>'3.1 60 U'!E33</f>
        <v>0</v>
      </c>
      <c r="P16" s="25">
        <f>'3.1 60 U'!E34</f>
        <v>0</v>
      </c>
      <c r="Q16" s="25">
        <f>'3.1 60 U'!E35</f>
        <v>0</v>
      </c>
      <c r="R16" s="25">
        <f>'3.1 60 U'!E36</f>
        <v>0</v>
      </c>
      <c r="S16" s="25">
        <f>'3.1 60 U'!E37</f>
        <v>0</v>
      </c>
    </row>
    <row r="17" spans="2:19" x14ac:dyDescent="0.25">
      <c r="B17" t="s">
        <v>412</v>
      </c>
      <c r="C17" s="58">
        <f>IF($B$2="70 km/h-Rural-Undivided",999,0)</f>
        <v>0</v>
      </c>
      <c r="D17" s="25">
        <f>'3.2 70 U'!E39</f>
        <v>0</v>
      </c>
      <c r="E17" s="25">
        <f>'3.2 70 U'!E40</f>
        <v>0</v>
      </c>
      <c r="F17" s="25">
        <f>'3.2 70 U'!E41</f>
        <v>0</v>
      </c>
      <c r="G17">
        <f>'3.2 70 U'!E21</f>
        <v>0.4</v>
      </c>
      <c r="H17">
        <f>'3.2 70 U'!E22</f>
        <v>1</v>
      </c>
      <c r="I17">
        <f>'3.2 70 U'!E23</f>
        <v>1</v>
      </c>
      <c r="J17">
        <f>'3.2 70 U'!E24</f>
        <v>1</v>
      </c>
      <c r="K17">
        <f>'3.2 70 U'!E25</f>
        <v>1</v>
      </c>
      <c r="L17">
        <f>'3.2 70 U'!E26</f>
        <v>1</v>
      </c>
      <c r="M17" s="25">
        <f>'3.2 70 U'!E28</f>
        <v>0.28999999999999998</v>
      </c>
      <c r="N17" s="25">
        <f>'3.2 70 U'!E31</f>
        <v>5.0000000000000001E-3</v>
      </c>
      <c r="O17" s="25">
        <f>'3.2 70 U'!E33</f>
        <v>0</v>
      </c>
      <c r="P17" s="25">
        <f>'3.2 70 U'!E34</f>
        <v>0</v>
      </c>
      <c r="Q17" s="25">
        <f>'3.2 70 U'!E35</f>
        <v>0</v>
      </c>
      <c r="R17" s="25">
        <f>'3.2 70 U'!E36</f>
        <v>0</v>
      </c>
      <c r="S17" s="25">
        <f>'3.2 70 U'!E37</f>
        <v>0</v>
      </c>
    </row>
    <row r="18" spans="2:19" x14ac:dyDescent="0.25">
      <c r="B18" t="s">
        <v>413</v>
      </c>
      <c r="C18" s="58">
        <f>IF($B$2="80 km/h-Rural-Undivided",999,0)</f>
        <v>0</v>
      </c>
      <c r="D18" s="25">
        <f>'3.3 80 U'!E39</f>
        <v>0</v>
      </c>
      <c r="E18" s="25">
        <f>'3.3 80 U'!E40</f>
        <v>0</v>
      </c>
      <c r="F18" s="25">
        <f>'3.3 80 U'!E41</f>
        <v>0</v>
      </c>
      <c r="G18">
        <f>'3.3 80 U'!E21</f>
        <v>0.4</v>
      </c>
      <c r="H18">
        <f>'3.3 80 U'!E22</f>
        <v>1</v>
      </c>
      <c r="I18">
        <f>'3.3 80 U'!E23</f>
        <v>1</v>
      </c>
      <c r="J18">
        <f>'3.3 80 U'!E24</f>
        <v>1</v>
      </c>
      <c r="K18">
        <f>'3.3 80 U'!E25</f>
        <v>1</v>
      </c>
      <c r="L18">
        <f>'3.3 80 U'!E26</f>
        <v>1</v>
      </c>
      <c r="M18" s="25">
        <f>'3.3 80 U'!E28</f>
        <v>0.48</v>
      </c>
      <c r="N18" s="25">
        <f>'3.3 80 U'!E31</f>
        <v>0.04</v>
      </c>
      <c r="O18" s="25">
        <f>'3.3 80 U'!E33</f>
        <v>0</v>
      </c>
      <c r="P18" s="25">
        <f>'3.3 80 U'!E34</f>
        <v>0</v>
      </c>
      <c r="Q18" s="25">
        <f>'3.3 80 U'!E35</f>
        <v>0</v>
      </c>
      <c r="R18" s="25">
        <f>'3.3 80 U'!E36</f>
        <v>0</v>
      </c>
      <c r="S18" s="25">
        <f>'3.3 80 U'!E37</f>
        <v>0</v>
      </c>
    </row>
    <row r="19" spans="2:19" x14ac:dyDescent="0.25">
      <c r="B19" t="s">
        <v>414</v>
      </c>
      <c r="C19" s="58">
        <f>IF($B$2="90 km/h-Rural-Undivided",999,0)</f>
        <v>0</v>
      </c>
      <c r="D19" s="25">
        <f>'3.4 90 U'!E39</f>
        <v>0</v>
      </c>
      <c r="E19" s="25">
        <f>'3.4 90 U'!E40</f>
        <v>0</v>
      </c>
      <c r="F19" s="25">
        <f>'3.4 90 U'!E41</f>
        <v>0</v>
      </c>
      <c r="G19">
        <f>'3.4 90 U'!E21</f>
        <v>0.4</v>
      </c>
      <c r="H19">
        <f>'3.4 90 U'!E22</f>
        <v>1</v>
      </c>
      <c r="I19">
        <f>'3.4 90 U'!E23</f>
        <v>1</v>
      </c>
      <c r="J19">
        <f>'3.4 90 U'!E24</f>
        <v>1</v>
      </c>
      <c r="K19">
        <f>'3.4 90 U'!E25</f>
        <v>1</v>
      </c>
      <c r="L19">
        <f>'3.4 90 U'!E26</f>
        <v>1</v>
      </c>
      <c r="M19" s="25">
        <f>'3.4 90 U'!E28</f>
        <v>0.48</v>
      </c>
      <c r="N19" s="25">
        <f>'3.4 90 U'!E31</f>
        <v>0.04</v>
      </c>
      <c r="O19" s="25">
        <f>'3.4 90 U'!E33</f>
        <v>0</v>
      </c>
      <c r="P19" s="25">
        <f>'3.4 90 U'!E34</f>
        <v>0</v>
      </c>
      <c r="Q19" s="25">
        <f>'3.4 90 U'!E35</f>
        <v>0</v>
      </c>
      <c r="R19" s="25">
        <f>'3.4 90 U'!E36</f>
        <v>0</v>
      </c>
      <c r="S19" s="25">
        <f>'3.4 90 U'!E37</f>
        <v>0</v>
      </c>
    </row>
    <row r="20" spans="2:19" x14ac:dyDescent="0.25">
      <c r="B20" t="s">
        <v>415</v>
      </c>
      <c r="C20" s="58">
        <f>IF($B$2="100 km/h-Rural-Undivided",999,0)</f>
        <v>0</v>
      </c>
      <c r="D20" s="25">
        <f>'3.5 100 U'!E39</f>
        <v>0</v>
      </c>
      <c r="E20" s="25">
        <f>'3.5 100 U'!E40</f>
        <v>0</v>
      </c>
      <c r="F20" s="25">
        <f>'3.5 100 U'!E41</f>
        <v>0</v>
      </c>
      <c r="G20">
        <f>'3.5 100 U'!E21</f>
        <v>0.4</v>
      </c>
      <c r="H20">
        <f>'3.5 100 U'!E22</f>
        <v>1</v>
      </c>
      <c r="I20">
        <f>'3.5 100 U'!E23</f>
        <v>1</v>
      </c>
      <c r="J20">
        <f>'3.5 100 U'!E24</f>
        <v>1</v>
      </c>
      <c r="K20">
        <f>'3.5 100 U'!E25</f>
        <v>1</v>
      </c>
      <c r="L20">
        <f>'3.5 100 U'!E26</f>
        <v>1</v>
      </c>
      <c r="M20" s="25">
        <f>'3.5 100 U'!E28</f>
        <v>0.61</v>
      </c>
      <c r="N20" s="25">
        <f>'3.5 100 U'!E31</f>
        <v>0.12</v>
      </c>
      <c r="O20" s="25">
        <f>'3.5 100 U'!E33</f>
        <v>0</v>
      </c>
      <c r="P20" s="25">
        <f>'3.5 100 U'!E34</f>
        <v>0</v>
      </c>
      <c r="Q20" s="25">
        <f>'3.5 100 U'!E35</f>
        <v>0</v>
      </c>
      <c r="R20" s="25">
        <f>'3.5 100 U'!E36</f>
        <v>0</v>
      </c>
      <c r="S20" s="25">
        <f>'3.5 100 U'!E37</f>
        <v>0</v>
      </c>
    </row>
    <row r="21" spans="2:19" x14ac:dyDescent="0.25">
      <c r="B21" t="s">
        <v>416</v>
      </c>
      <c r="C21" s="58">
        <f>IF($B$2="110 km/h-Rural-Undivided",999,0)</f>
        <v>0</v>
      </c>
      <c r="D21" s="25">
        <f>'3.6 110 U'!E39</f>
        <v>0</v>
      </c>
      <c r="E21" s="25">
        <f>'3.6 110 U'!E40</f>
        <v>0</v>
      </c>
      <c r="F21" s="25">
        <f>'3.6 110 U'!E41</f>
        <v>0</v>
      </c>
      <c r="G21">
        <f>'3.6 110 U'!E21</f>
        <v>0.4</v>
      </c>
      <c r="H21">
        <f>'3.6 110 U'!E22</f>
        <v>1</v>
      </c>
      <c r="I21">
        <f>'3.6 110 U'!E23</f>
        <v>1</v>
      </c>
      <c r="J21">
        <f>'3.6 110 U'!E24</f>
        <v>1</v>
      </c>
      <c r="K21">
        <f>'3.6 110 U'!E25</f>
        <v>1</v>
      </c>
      <c r="L21">
        <f>'3.6 110 U'!E26</f>
        <v>1</v>
      </c>
      <c r="M21" s="25">
        <f>'3.6 110 U'!E28</f>
        <v>0.61</v>
      </c>
      <c r="N21" s="25">
        <f>'3.6 110 U'!E31</f>
        <v>0.12</v>
      </c>
      <c r="O21" s="25">
        <f>'3.6 110 U'!E33</f>
        <v>0</v>
      </c>
      <c r="P21" s="25">
        <f>'3.6 110 U'!E34</f>
        <v>0</v>
      </c>
      <c r="Q21" s="25">
        <f>'3.6 110 U'!E35</f>
        <v>0</v>
      </c>
      <c r="R21" s="25">
        <f>'3.6 110 U'!E36</f>
        <v>0</v>
      </c>
      <c r="S21" s="25">
        <f>'3.6 110 U'!E37</f>
        <v>0</v>
      </c>
    </row>
    <row r="22" spans="2:19" x14ac:dyDescent="0.25">
      <c r="B22" t="s">
        <v>417</v>
      </c>
      <c r="C22" s="58">
        <f>IF($B$2="60 km/h-Rural-Divided",999,0)</f>
        <v>0</v>
      </c>
      <c r="D22" s="25">
        <f>'4.1 60 D'!E39</f>
        <v>0</v>
      </c>
      <c r="E22" s="25">
        <f>'4.1 60 D'!E40</f>
        <v>0</v>
      </c>
      <c r="F22" s="25">
        <f>'4.1 60 D'!E41</f>
        <v>0</v>
      </c>
      <c r="G22">
        <f>'4.1 60 D'!E21</f>
        <v>0.24</v>
      </c>
      <c r="H22">
        <f>'4.1 60 D'!E22</f>
        <v>1</v>
      </c>
      <c r="I22">
        <f>'4.1 60 D'!E23</f>
        <v>1</v>
      </c>
      <c r="J22">
        <f>'4.1 60 D'!E24</f>
        <v>1</v>
      </c>
      <c r="K22">
        <f>'4.1 60 D'!E25</f>
        <v>1</v>
      </c>
      <c r="L22">
        <f>'4.1 60 D'!E26</f>
        <v>1</v>
      </c>
      <c r="M22" s="25">
        <f>'4.1 60 D'!E28</f>
        <v>0.28999999999999998</v>
      </c>
      <c r="N22" s="25">
        <f>'4.1 60 D'!E31</f>
        <v>5.0000000000000001E-3</v>
      </c>
      <c r="O22" s="25">
        <f>'4.1 60 D'!E33</f>
        <v>0</v>
      </c>
      <c r="P22" s="25">
        <f>'4.1 60 D'!E34</f>
        <v>0</v>
      </c>
      <c r="Q22" s="25">
        <f>'4.1 60 D'!E35</f>
        <v>0</v>
      </c>
      <c r="R22" s="25">
        <f>'4.1 60 D'!E36</f>
        <v>0</v>
      </c>
      <c r="S22" s="25">
        <f>'4.1 60 D'!E37</f>
        <v>0</v>
      </c>
    </row>
    <row r="23" spans="2:19" x14ac:dyDescent="0.25">
      <c r="B23" t="s">
        <v>418</v>
      </c>
      <c r="C23" s="58">
        <f>IF($B$2="70 km/h-Rural-Divided",999,0)</f>
        <v>0</v>
      </c>
      <c r="D23" s="25">
        <f>'4.2 70 D'!E39</f>
        <v>0</v>
      </c>
      <c r="E23" s="25">
        <f>'4.2 70 D'!E40</f>
        <v>0</v>
      </c>
      <c r="F23" s="25">
        <f>'4.2 70 D'!E41</f>
        <v>0</v>
      </c>
      <c r="G23">
        <f>'4.2 70 D'!E21</f>
        <v>0.24</v>
      </c>
      <c r="H23">
        <f>'4.2 70 D'!E22</f>
        <v>1</v>
      </c>
      <c r="I23">
        <f>'4.2 70 D'!E23</f>
        <v>1</v>
      </c>
      <c r="J23">
        <f>'4.2 70 D'!E24</f>
        <v>1</v>
      </c>
      <c r="K23">
        <f>'4.2 70 D'!E25</f>
        <v>1</v>
      </c>
      <c r="L23">
        <f>'4.2 70 D'!E26</f>
        <v>1</v>
      </c>
      <c r="M23" s="25">
        <f>'4.2 70 D'!E28</f>
        <v>0.28999999999999998</v>
      </c>
      <c r="N23" s="25">
        <f>'4.2 70 D'!E31</f>
        <v>5.0000000000000001E-3</v>
      </c>
      <c r="O23" s="25">
        <f>'4.2 70 D'!E33</f>
        <v>0</v>
      </c>
      <c r="P23" s="25">
        <f>'4.2 70 D'!E34</f>
        <v>0</v>
      </c>
      <c r="Q23" s="25">
        <f>'4.2 70 D'!E35</f>
        <v>0</v>
      </c>
      <c r="R23" s="25">
        <f>'4.2 70 D'!E36</f>
        <v>0</v>
      </c>
      <c r="S23" s="25">
        <f>'4.2 70 D'!E37</f>
        <v>0</v>
      </c>
    </row>
    <row r="24" spans="2:19" x14ac:dyDescent="0.25">
      <c r="B24" t="s">
        <v>419</v>
      </c>
      <c r="C24" s="58">
        <f>IF($B$2="80 km/h-Rural-Divided",999,0)</f>
        <v>0</v>
      </c>
      <c r="D24" s="25">
        <f>'4.3 80 D'!E39</f>
        <v>0</v>
      </c>
      <c r="E24" s="25">
        <f>'4.3 80 D'!E40</f>
        <v>0</v>
      </c>
      <c r="F24" s="25">
        <f>'4.3 80 D'!E41</f>
        <v>0</v>
      </c>
      <c r="G24">
        <f>'4.3 80 D'!E21</f>
        <v>0.24</v>
      </c>
      <c r="H24">
        <f>'4.3 80 D'!E22</f>
        <v>1</v>
      </c>
      <c r="I24">
        <f>'4.3 80 D'!E23</f>
        <v>1</v>
      </c>
      <c r="J24">
        <f>'4.3 80 D'!E24</f>
        <v>1</v>
      </c>
      <c r="K24">
        <f>'4.3 80 D'!E25</f>
        <v>1</v>
      </c>
      <c r="L24">
        <f>'4.3 80 D'!E26</f>
        <v>1</v>
      </c>
      <c r="M24" s="25">
        <f>'4.3 80 D'!E28</f>
        <v>0.48</v>
      </c>
      <c r="N24" s="25">
        <f>'4.3 80 D'!E31</f>
        <v>0.04</v>
      </c>
      <c r="O24" s="25">
        <f>'4.3 80 D'!E33</f>
        <v>0</v>
      </c>
      <c r="P24" s="25">
        <f>'4.3 80 D'!E34</f>
        <v>0</v>
      </c>
      <c r="Q24" s="25">
        <f>'4.3 80 D'!E35</f>
        <v>0</v>
      </c>
      <c r="R24" s="25">
        <f>'4.3 80 D'!E36</f>
        <v>0</v>
      </c>
      <c r="S24" s="25">
        <f>'4.3 80 D'!E37</f>
        <v>0</v>
      </c>
    </row>
    <row r="25" spans="2:19" x14ac:dyDescent="0.25">
      <c r="B25" t="s">
        <v>420</v>
      </c>
      <c r="C25" s="58">
        <f>IF($B$2="90 km/h-Rural-Divided",999,0)</f>
        <v>0</v>
      </c>
      <c r="D25" s="25">
        <f>'4.4 90 D'!E39</f>
        <v>0</v>
      </c>
      <c r="E25" s="25">
        <f>'4.4 90 D'!E40</f>
        <v>0</v>
      </c>
      <c r="F25" s="25">
        <f>'4.4 90 D'!E41</f>
        <v>0</v>
      </c>
      <c r="G25">
        <f>'4.4 90 D'!E21</f>
        <v>0.24</v>
      </c>
      <c r="H25">
        <f>'4.4 90 D'!E22</f>
        <v>1</v>
      </c>
      <c r="I25">
        <f>'4.4 90 D'!E23</f>
        <v>1</v>
      </c>
      <c r="J25">
        <f>'4.4 90 D'!E24</f>
        <v>1</v>
      </c>
      <c r="K25">
        <f>'4.4 90 D'!E25</f>
        <v>1</v>
      </c>
      <c r="L25">
        <f>'4.4 90 D'!E26</f>
        <v>1</v>
      </c>
      <c r="M25" s="25">
        <f>'4.4 90 D'!E28</f>
        <v>0.48</v>
      </c>
      <c r="N25" s="25">
        <f>'4.4 90 D'!E31</f>
        <v>0.04</v>
      </c>
      <c r="O25" s="25">
        <f>'4.4 90 D'!E33</f>
        <v>0</v>
      </c>
      <c r="P25" s="25">
        <f>'4.4 90 D'!E34</f>
        <v>0</v>
      </c>
      <c r="Q25" s="25">
        <f>'4.4 90 D'!E35</f>
        <v>0</v>
      </c>
      <c r="R25" s="25">
        <f>'4.4 90 D'!E36</f>
        <v>0</v>
      </c>
      <c r="S25" s="25">
        <f>'4.4 90 D'!E37</f>
        <v>0</v>
      </c>
    </row>
    <row r="26" spans="2:19" x14ac:dyDescent="0.25">
      <c r="B26" t="s">
        <v>421</v>
      </c>
      <c r="C26" s="58">
        <f>IF($B$2="100 km/h-Rural-Divided",999,0)</f>
        <v>0</v>
      </c>
      <c r="D26" s="25">
        <f>'4.5 100 D'!E39</f>
        <v>0</v>
      </c>
      <c r="E26" s="25">
        <f>'4.5 100 D'!E40</f>
        <v>0</v>
      </c>
      <c r="F26" s="25">
        <f>'4.5 100 D'!E41</f>
        <v>0</v>
      </c>
      <c r="G26">
        <f>'4.5 100 D'!E21</f>
        <v>0.24</v>
      </c>
      <c r="H26">
        <f>'4.5 100 D'!E22</f>
        <v>1</v>
      </c>
      <c r="I26">
        <f>'4.5 100 D'!E23</f>
        <v>1</v>
      </c>
      <c r="J26">
        <f>'4.5 100 D'!E24</f>
        <v>1</v>
      </c>
      <c r="K26">
        <f>'4.5 100 D'!E25</f>
        <v>1</v>
      </c>
      <c r="L26">
        <f>'4.5 100 D'!E26</f>
        <v>1</v>
      </c>
      <c r="M26" s="25">
        <f>'4.5 100 D'!E28</f>
        <v>0.61</v>
      </c>
      <c r="N26" s="25">
        <f>'4.5 100 D'!E31</f>
        <v>0.12</v>
      </c>
      <c r="O26" s="25">
        <f>'4.5 100 D'!E33</f>
        <v>0</v>
      </c>
      <c r="P26" s="25">
        <f>'4.5 100 D'!E34</f>
        <v>0</v>
      </c>
      <c r="Q26" s="25">
        <f>'4.5 100 D'!E35</f>
        <v>0</v>
      </c>
      <c r="R26" s="25">
        <f>'4.5 100 D'!E36</f>
        <v>0</v>
      </c>
      <c r="S26" s="25">
        <f>'4.5 100 D'!E37</f>
        <v>0</v>
      </c>
    </row>
    <row r="27" spans="2:19" x14ac:dyDescent="0.25">
      <c r="B27" t="s">
        <v>422</v>
      </c>
      <c r="C27" s="58">
        <f>IF($B$2="110 km/h-Rural-Divided",999,0)</f>
        <v>0</v>
      </c>
      <c r="D27" s="25">
        <f>'4.6 110 D'!E39</f>
        <v>0</v>
      </c>
      <c r="E27" s="25">
        <f>'4.6 110 D'!E40</f>
        <v>0</v>
      </c>
      <c r="F27" s="25">
        <f>'4.6 110 D'!E41</f>
        <v>0</v>
      </c>
      <c r="G27">
        <f>'4.6 110 D'!E21</f>
        <v>0.24</v>
      </c>
      <c r="H27">
        <f>'4.6 110 D'!E22</f>
        <v>1</v>
      </c>
      <c r="I27">
        <f>'4.6 110 D'!E23</f>
        <v>1</v>
      </c>
      <c r="J27">
        <f>'4.6 110 D'!E24</f>
        <v>1</v>
      </c>
      <c r="K27">
        <f>'4.6 110 D'!E25</f>
        <v>1</v>
      </c>
      <c r="L27">
        <f>'4.6 110 D'!E26</f>
        <v>1</v>
      </c>
      <c r="M27" s="25">
        <f>'4.6 110 D'!E28</f>
        <v>0.61</v>
      </c>
      <c r="N27" s="25">
        <f>'4.6 110 D'!E31</f>
        <v>0.12</v>
      </c>
      <c r="O27" s="25">
        <f>'4.6 110 D'!E33</f>
        <v>0</v>
      </c>
      <c r="P27" s="25">
        <f>'4.6 110 D'!E34</f>
        <v>0</v>
      </c>
      <c r="Q27" s="25">
        <f>'4.6 110 D'!E35</f>
        <v>0</v>
      </c>
      <c r="R27" s="25">
        <f>'4.6 110 D'!E36</f>
        <v>0</v>
      </c>
      <c r="S27" s="25">
        <f>'4.6 110 D'!E37</f>
        <v>0</v>
      </c>
    </row>
    <row r="29" spans="2:19" ht="105" x14ac:dyDescent="0.25">
      <c r="D29" s="46" t="s">
        <v>396</v>
      </c>
      <c r="E29" s="46" t="s">
        <v>395</v>
      </c>
      <c r="F29" s="46" t="s">
        <v>397</v>
      </c>
      <c r="G29" s="46" t="s">
        <v>84</v>
      </c>
      <c r="H29" s="46" t="s">
        <v>87</v>
      </c>
      <c r="I29" s="46" t="s">
        <v>90</v>
      </c>
      <c r="J29" s="46" t="s">
        <v>93</v>
      </c>
      <c r="K29" s="46" t="s">
        <v>95</v>
      </c>
      <c r="L29" s="46" t="s">
        <v>98</v>
      </c>
      <c r="M29" s="46" t="s">
        <v>105</v>
      </c>
      <c r="N29" s="46" t="s">
        <v>114</v>
      </c>
      <c r="O29" s="46" t="s">
        <v>120</v>
      </c>
      <c r="P29" s="46" t="s">
        <v>124</v>
      </c>
      <c r="Q29" s="46" t="s">
        <v>127</v>
      </c>
      <c r="R29" s="46" t="s">
        <v>130</v>
      </c>
      <c r="S29" s="46" t="s">
        <v>133</v>
      </c>
    </row>
    <row r="30" spans="2:19" x14ac:dyDescent="0.25">
      <c r="B30" t="s">
        <v>399</v>
      </c>
      <c r="D30" s="25">
        <f t="shared" ref="D30:D53" si="0">IF(C4=999,D4,0)</f>
        <v>0</v>
      </c>
      <c r="E30" s="25">
        <f t="shared" ref="E30:E53" si="1">IF(C4=999,E4,0)</f>
        <v>0</v>
      </c>
      <c r="F30" s="25">
        <f t="shared" ref="F30:F53" si="2">IF(C4=999,F4,0)</f>
        <v>0</v>
      </c>
      <c r="G30" s="25">
        <f t="shared" ref="G30:S30" si="3">IF($C4=999,G4,0)</f>
        <v>0.4</v>
      </c>
      <c r="H30" s="25">
        <f t="shared" si="3"/>
        <v>1</v>
      </c>
      <c r="I30" s="25">
        <f t="shared" si="3"/>
        <v>1.42</v>
      </c>
      <c r="J30" s="25">
        <f t="shared" si="3"/>
        <v>1</v>
      </c>
      <c r="K30" s="25">
        <f t="shared" si="3"/>
        <v>1</v>
      </c>
      <c r="L30" s="25">
        <f t="shared" si="3"/>
        <v>1</v>
      </c>
      <c r="M30" s="25">
        <f t="shared" si="3"/>
        <v>0.28999999999999998</v>
      </c>
      <c r="N30" s="25">
        <f t="shared" si="3"/>
        <v>5.0000000000000001E-3</v>
      </c>
      <c r="O30" s="25">
        <f t="shared" si="3"/>
        <v>0</v>
      </c>
      <c r="P30" s="25">
        <f t="shared" si="3"/>
        <v>0</v>
      </c>
      <c r="Q30" s="25">
        <f t="shared" si="3"/>
        <v>0</v>
      </c>
      <c r="R30" s="25">
        <f t="shared" si="3"/>
        <v>0</v>
      </c>
      <c r="S30" s="25">
        <f t="shared" si="3"/>
        <v>0</v>
      </c>
    </row>
    <row r="31" spans="2:19" x14ac:dyDescent="0.25">
      <c r="B31" t="s">
        <v>400</v>
      </c>
      <c r="D31" s="25">
        <f t="shared" si="0"/>
        <v>0</v>
      </c>
      <c r="E31" s="25">
        <f t="shared" si="1"/>
        <v>0</v>
      </c>
      <c r="F31" s="25">
        <f t="shared" si="2"/>
        <v>0</v>
      </c>
      <c r="G31" s="25">
        <f t="shared" ref="G31:R53" si="4">IF($C5=999,G5,0)</f>
        <v>0</v>
      </c>
      <c r="H31" s="25">
        <f t="shared" si="4"/>
        <v>0</v>
      </c>
      <c r="I31" s="25">
        <f t="shared" si="4"/>
        <v>0</v>
      </c>
      <c r="J31" s="25">
        <f t="shared" si="4"/>
        <v>0</v>
      </c>
      <c r="K31" s="25">
        <f t="shared" si="4"/>
        <v>0</v>
      </c>
      <c r="L31" s="25">
        <f t="shared" si="4"/>
        <v>0</v>
      </c>
      <c r="M31" s="25">
        <f t="shared" si="4"/>
        <v>0</v>
      </c>
      <c r="N31" s="25">
        <f t="shared" si="4"/>
        <v>0</v>
      </c>
      <c r="O31" s="25">
        <f t="shared" si="4"/>
        <v>0</v>
      </c>
      <c r="P31" s="25">
        <f t="shared" si="4"/>
        <v>0</v>
      </c>
      <c r="Q31" s="25">
        <f t="shared" si="4"/>
        <v>0</v>
      </c>
      <c r="R31" s="25">
        <f t="shared" si="4"/>
        <v>0</v>
      </c>
      <c r="S31" s="25">
        <f t="shared" ref="S31:S53" si="5">IF($C5=999,S5,0)</f>
        <v>0</v>
      </c>
    </row>
    <row r="32" spans="2:19" x14ac:dyDescent="0.25">
      <c r="B32" t="s">
        <v>401</v>
      </c>
      <c r="D32" s="25">
        <f t="shared" si="0"/>
        <v>0</v>
      </c>
      <c r="E32" s="25">
        <f t="shared" si="1"/>
        <v>0</v>
      </c>
      <c r="F32" s="25">
        <f t="shared" si="2"/>
        <v>0</v>
      </c>
      <c r="G32" s="25">
        <f t="shared" si="4"/>
        <v>0</v>
      </c>
      <c r="H32" s="25">
        <f t="shared" si="4"/>
        <v>0</v>
      </c>
      <c r="I32" s="25">
        <f t="shared" si="4"/>
        <v>0</v>
      </c>
      <c r="J32" s="25">
        <f t="shared" si="4"/>
        <v>0</v>
      </c>
      <c r="K32" s="25">
        <f t="shared" si="4"/>
        <v>0</v>
      </c>
      <c r="L32" s="25">
        <f t="shared" si="4"/>
        <v>0</v>
      </c>
      <c r="M32" s="25">
        <f t="shared" si="4"/>
        <v>0</v>
      </c>
      <c r="N32" s="25">
        <f t="shared" si="4"/>
        <v>0</v>
      </c>
      <c r="O32" s="25">
        <f t="shared" si="4"/>
        <v>0</v>
      </c>
      <c r="P32" s="25">
        <f t="shared" si="4"/>
        <v>0</v>
      </c>
      <c r="Q32" s="25">
        <f t="shared" si="4"/>
        <v>0</v>
      </c>
      <c r="R32" s="25">
        <f t="shared" si="4"/>
        <v>0</v>
      </c>
      <c r="S32" s="25">
        <f t="shared" si="5"/>
        <v>0</v>
      </c>
    </row>
    <row r="33" spans="2:19" x14ac:dyDescent="0.25">
      <c r="B33" t="s">
        <v>402</v>
      </c>
      <c r="D33" s="25">
        <f t="shared" si="0"/>
        <v>0</v>
      </c>
      <c r="E33" s="25">
        <f t="shared" si="1"/>
        <v>0</v>
      </c>
      <c r="F33" s="25">
        <f t="shared" si="2"/>
        <v>0</v>
      </c>
      <c r="G33" s="25">
        <f t="shared" si="4"/>
        <v>0</v>
      </c>
      <c r="H33" s="25">
        <f t="shared" si="4"/>
        <v>0</v>
      </c>
      <c r="I33" s="25">
        <f t="shared" si="4"/>
        <v>0</v>
      </c>
      <c r="J33" s="25">
        <f t="shared" si="4"/>
        <v>0</v>
      </c>
      <c r="K33" s="25">
        <f t="shared" si="4"/>
        <v>0</v>
      </c>
      <c r="L33" s="25">
        <f t="shared" si="4"/>
        <v>0</v>
      </c>
      <c r="M33" s="25">
        <f t="shared" si="4"/>
        <v>0</v>
      </c>
      <c r="N33" s="25">
        <f t="shared" si="4"/>
        <v>0</v>
      </c>
      <c r="O33" s="25">
        <f t="shared" si="4"/>
        <v>0</v>
      </c>
      <c r="P33" s="25">
        <f t="shared" si="4"/>
        <v>0</v>
      </c>
      <c r="Q33" s="25">
        <f t="shared" si="4"/>
        <v>0</v>
      </c>
      <c r="R33" s="25">
        <f t="shared" ref="R33:R53" si="6">IF($C7=999,R7,0)</f>
        <v>0</v>
      </c>
      <c r="S33" s="25">
        <f t="shared" si="5"/>
        <v>0</v>
      </c>
    </row>
    <row r="34" spans="2:19" x14ac:dyDescent="0.25">
      <c r="B34" t="s">
        <v>403</v>
      </c>
      <c r="D34" s="25">
        <f t="shared" si="0"/>
        <v>0</v>
      </c>
      <c r="E34" s="25">
        <f t="shared" si="1"/>
        <v>0</v>
      </c>
      <c r="F34" s="25">
        <f t="shared" si="2"/>
        <v>0</v>
      </c>
      <c r="G34" s="25">
        <f t="shared" si="4"/>
        <v>0</v>
      </c>
      <c r="H34" s="25">
        <f t="shared" si="4"/>
        <v>0</v>
      </c>
      <c r="I34" s="25">
        <f t="shared" si="4"/>
        <v>0</v>
      </c>
      <c r="J34" s="25">
        <f t="shared" si="4"/>
        <v>0</v>
      </c>
      <c r="K34" s="25">
        <f t="shared" si="4"/>
        <v>0</v>
      </c>
      <c r="L34" s="25">
        <f t="shared" si="4"/>
        <v>0</v>
      </c>
      <c r="M34" s="25">
        <f t="shared" si="4"/>
        <v>0</v>
      </c>
      <c r="N34" s="25">
        <f t="shared" si="4"/>
        <v>0</v>
      </c>
      <c r="O34" s="25">
        <f t="shared" si="4"/>
        <v>0</v>
      </c>
      <c r="P34" s="25">
        <f t="shared" si="4"/>
        <v>0</v>
      </c>
      <c r="Q34" s="25">
        <f t="shared" si="4"/>
        <v>0</v>
      </c>
      <c r="R34" s="25">
        <f t="shared" si="6"/>
        <v>0</v>
      </c>
      <c r="S34" s="25">
        <f t="shared" si="5"/>
        <v>0</v>
      </c>
    </row>
    <row r="35" spans="2:19" x14ac:dyDescent="0.25">
      <c r="B35" t="s">
        <v>404</v>
      </c>
      <c r="D35" s="25">
        <f t="shared" si="0"/>
        <v>0</v>
      </c>
      <c r="E35" s="25">
        <f t="shared" si="1"/>
        <v>0</v>
      </c>
      <c r="F35" s="25">
        <f t="shared" si="2"/>
        <v>0</v>
      </c>
      <c r="G35" s="25">
        <f t="shared" si="4"/>
        <v>0</v>
      </c>
      <c r="H35" s="25">
        <f t="shared" si="4"/>
        <v>0</v>
      </c>
      <c r="I35" s="25">
        <f t="shared" si="4"/>
        <v>0</v>
      </c>
      <c r="J35" s="25">
        <f t="shared" si="4"/>
        <v>0</v>
      </c>
      <c r="K35" s="25">
        <f t="shared" si="4"/>
        <v>0</v>
      </c>
      <c r="L35" s="25">
        <f t="shared" si="4"/>
        <v>0</v>
      </c>
      <c r="M35" s="25">
        <f t="shared" si="4"/>
        <v>0</v>
      </c>
      <c r="N35" s="25">
        <f t="shared" si="4"/>
        <v>0</v>
      </c>
      <c r="O35" s="25">
        <f t="shared" si="4"/>
        <v>0</v>
      </c>
      <c r="P35" s="25">
        <f t="shared" si="4"/>
        <v>0</v>
      </c>
      <c r="Q35" s="25">
        <f t="shared" si="4"/>
        <v>0</v>
      </c>
      <c r="R35" s="25">
        <f t="shared" si="6"/>
        <v>0</v>
      </c>
      <c r="S35" s="25">
        <f t="shared" si="5"/>
        <v>0</v>
      </c>
    </row>
    <row r="36" spans="2:19" x14ac:dyDescent="0.25">
      <c r="B36" t="s">
        <v>405</v>
      </c>
      <c r="D36" s="25">
        <f t="shared" si="0"/>
        <v>0</v>
      </c>
      <c r="E36" s="25">
        <f t="shared" si="1"/>
        <v>0</v>
      </c>
      <c r="F36" s="25">
        <f t="shared" si="2"/>
        <v>0</v>
      </c>
      <c r="G36" s="25">
        <f t="shared" si="4"/>
        <v>0</v>
      </c>
      <c r="H36" s="25">
        <f t="shared" si="4"/>
        <v>0</v>
      </c>
      <c r="I36" s="25">
        <f t="shared" si="4"/>
        <v>0</v>
      </c>
      <c r="J36" s="25">
        <f t="shared" si="4"/>
        <v>0</v>
      </c>
      <c r="K36" s="25">
        <f t="shared" si="4"/>
        <v>0</v>
      </c>
      <c r="L36" s="25">
        <f t="shared" si="4"/>
        <v>0</v>
      </c>
      <c r="M36" s="25">
        <f t="shared" si="4"/>
        <v>0</v>
      </c>
      <c r="N36" s="25">
        <f t="shared" si="4"/>
        <v>0</v>
      </c>
      <c r="O36" s="25">
        <f t="shared" si="4"/>
        <v>0</v>
      </c>
      <c r="P36" s="25">
        <f t="shared" si="4"/>
        <v>0</v>
      </c>
      <c r="Q36" s="25">
        <f t="shared" si="4"/>
        <v>0</v>
      </c>
      <c r="R36" s="25">
        <f t="shared" si="6"/>
        <v>0</v>
      </c>
      <c r="S36" s="25">
        <f t="shared" si="5"/>
        <v>0</v>
      </c>
    </row>
    <row r="37" spans="2:19" x14ac:dyDescent="0.25">
      <c r="B37" t="s">
        <v>406</v>
      </c>
      <c r="D37" s="25">
        <f t="shared" si="0"/>
        <v>0</v>
      </c>
      <c r="E37" s="25">
        <f t="shared" si="1"/>
        <v>0</v>
      </c>
      <c r="F37" s="25">
        <f t="shared" si="2"/>
        <v>0</v>
      </c>
      <c r="G37" s="25">
        <f t="shared" si="4"/>
        <v>0</v>
      </c>
      <c r="H37" s="25">
        <f t="shared" si="4"/>
        <v>0</v>
      </c>
      <c r="I37" s="25">
        <f t="shared" si="4"/>
        <v>0</v>
      </c>
      <c r="J37" s="25">
        <f t="shared" si="4"/>
        <v>0</v>
      </c>
      <c r="K37" s="25">
        <f t="shared" si="4"/>
        <v>0</v>
      </c>
      <c r="L37" s="25">
        <f t="shared" si="4"/>
        <v>0</v>
      </c>
      <c r="M37" s="25">
        <f t="shared" si="4"/>
        <v>0</v>
      </c>
      <c r="N37" s="25">
        <f t="shared" si="4"/>
        <v>0</v>
      </c>
      <c r="O37" s="25">
        <f t="shared" si="4"/>
        <v>0</v>
      </c>
      <c r="P37" s="25">
        <f t="shared" si="4"/>
        <v>0</v>
      </c>
      <c r="Q37" s="25">
        <f t="shared" si="4"/>
        <v>0</v>
      </c>
      <c r="R37" s="25">
        <f t="shared" si="6"/>
        <v>0</v>
      </c>
      <c r="S37" s="25">
        <f t="shared" si="5"/>
        <v>0</v>
      </c>
    </row>
    <row r="38" spans="2:19" x14ac:dyDescent="0.25">
      <c r="B38" t="s">
        <v>407</v>
      </c>
      <c r="D38" s="25">
        <f t="shared" si="0"/>
        <v>0</v>
      </c>
      <c r="E38" s="25">
        <f t="shared" si="1"/>
        <v>0</v>
      </c>
      <c r="F38" s="25">
        <f t="shared" si="2"/>
        <v>0</v>
      </c>
      <c r="G38" s="25">
        <f t="shared" si="4"/>
        <v>0</v>
      </c>
      <c r="H38" s="25">
        <f t="shared" si="4"/>
        <v>0</v>
      </c>
      <c r="I38" s="25">
        <f t="shared" si="4"/>
        <v>0</v>
      </c>
      <c r="J38" s="25">
        <f t="shared" si="4"/>
        <v>0</v>
      </c>
      <c r="K38" s="25">
        <f t="shared" si="4"/>
        <v>0</v>
      </c>
      <c r="L38" s="25">
        <f t="shared" si="4"/>
        <v>0</v>
      </c>
      <c r="M38" s="25">
        <f t="shared" si="4"/>
        <v>0</v>
      </c>
      <c r="N38" s="25">
        <f t="shared" si="4"/>
        <v>0</v>
      </c>
      <c r="O38" s="25">
        <f t="shared" si="4"/>
        <v>0</v>
      </c>
      <c r="P38" s="25">
        <f t="shared" si="4"/>
        <v>0</v>
      </c>
      <c r="Q38" s="25">
        <f t="shared" si="4"/>
        <v>0</v>
      </c>
      <c r="R38" s="25">
        <f t="shared" si="6"/>
        <v>0</v>
      </c>
      <c r="S38" s="25">
        <f t="shared" si="5"/>
        <v>0</v>
      </c>
    </row>
    <row r="39" spans="2:19" x14ac:dyDescent="0.25">
      <c r="B39" t="s">
        <v>408</v>
      </c>
      <c r="D39" s="25">
        <f t="shared" si="0"/>
        <v>0</v>
      </c>
      <c r="E39" s="25">
        <f t="shared" si="1"/>
        <v>0</v>
      </c>
      <c r="F39" s="25">
        <f t="shared" si="2"/>
        <v>0</v>
      </c>
      <c r="G39" s="25">
        <f t="shared" si="4"/>
        <v>0</v>
      </c>
      <c r="H39" s="25">
        <f t="shared" si="4"/>
        <v>0</v>
      </c>
      <c r="I39" s="25">
        <f t="shared" si="4"/>
        <v>0</v>
      </c>
      <c r="J39" s="25">
        <f t="shared" si="4"/>
        <v>0</v>
      </c>
      <c r="K39" s="25">
        <f t="shared" si="4"/>
        <v>0</v>
      </c>
      <c r="L39" s="25">
        <f t="shared" si="4"/>
        <v>0</v>
      </c>
      <c r="M39" s="25">
        <f t="shared" si="4"/>
        <v>0</v>
      </c>
      <c r="N39" s="25">
        <f t="shared" si="4"/>
        <v>0</v>
      </c>
      <c r="O39" s="25">
        <f t="shared" si="4"/>
        <v>0</v>
      </c>
      <c r="P39" s="25">
        <f t="shared" si="4"/>
        <v>0</v>
      </c>
      <c r="Q39" s="25">
        <f t="shared" si="4"/>
        <v>0</v>
      </c>
      <c r="R39" s="25">
        <f t="shared" si="6"/>
        <v>0</v>
      </c>
      <c r="S39" s="25">
        <f t="shared" si="5"/>
        <v>0</v>
      </c>
    </row>
    <row r="40" spans="2:19" x14ac:dyDescent="0.25">
      <c r="B40" t="s">
        <v>409</v>
      </c>
      <c r="D40" s="25">
        <f t="shared" si="0"/>
        <v>0</v>
      </c>
      <c r="E40" s="25">
        <f t="shared" si="1"/>
        <v>0</v>
      </c>
      <c r="F40" s="25">
        <f t="shared" si="2"/>
        <v>0</v>
      </c>
      <c r="G40" s="25">
        <f t="shared" si="4"/>
        <v>0</v>
      </c>
      <c r="H40" s="25">
        <f t="shared" si="4"/>
        <v>0</v>
      </c>
      <c r="I40" s="25">
        <f t="shared" si="4"/>
        <v>0</v>
      </c>
      <c r="J40" s="25">
        <f t="shared" si="4"/>
        <v>0</v>
      </c>
      <c r="K40" s="25">
        <f t="shared" si="4"/>
        <v>0</v>
      </c>
      <c r="L40" s="25">
        <f t="shared" si="4"/>
        <v>0</v>
      </c>
      <c r="M40" s="25">
        <f t="shared" si="4"/>
        <v>0</v>
      </c>
      <c r="N40" s="25">
        <f t="shared" si="4"/>
        <v>0</v>
      </c>
      <c r="O40" s="25">
        <f t="shared" si="4"/>
        <v>0</v>
      </c>
      <c r="P40" s="25">
        <f t="shared" si="4"/>
        <v>0</v>
      </c>
      <c r="Q40" s="25">
        <f t="shared" si="4"/>
        <v>0</v>
      </c>
      <c r="R40" s="25">
        <f t="shared" si="6"/>
        <v>0</v>
      </c>
      <c r="S40" s="25">
        <f t="shared" si="5"/>
        <v>0</v>
      </c>
    </row>
    <row r="41" spans="2:19" x14ac:dyDescent="0.25">
      <c r="B41" t="s">
        <v>410</v>
      </c>
      <c r="D41" s="25">
        <f t="shared" si="0"/>
        <v>0</v>
      </c>
      <c r="E41" s="25">
        <f t="shared" si="1"/>
        <v>0</v>
      </c>
      <c r="F41" s="25">
        <f t="shared" si="2"/>
        <v>0</v>
      </c>
      <c r="G41" s="25">
        <f t="shared" si="4"/>
        <v>0</v>
      </c>
      <c r="H41" s="25">
        <f t="shared" si="4"/>
        <v>0</v>
      </c>
      <c r="I41" s="25">
        <f t="shared" si="4"/>
        <v>0</v>
      </c>
      <c r="J41" s="25">
        <f t="shared" si="4"/>
        <v>0</v>
      </c>
      <c r="K41" s="25">
        <f t="shared" si="4"/>
        <v>0</v>
      </c>
      <c r="L41" s="25">
        <f t="shared" si="4"/>
        <v>0</v>
      </c>
      <c r="M41" s="25">
        <f t="shared" si="4"/>
        <v>0</v>
      </c>
      <c r="N41" s="25">
        <f t="shared" si="4"/>
        <v>0</v>
      </c>
      <c r="O41" s="25">
        <f t="shared" si="4"/>
        <v>0</v>
      </c>
      <c r="P41" s="25">
        <f t="shared" si="4"/>
        <v>0</v>
      </c>
      <c r="Q41" s="25">
        <f t="shared" si="4"/>
        <v>0</v>
      </c>
      <c r="R41" s="25">
        <f t="shared" si="6"/>
        <v>0</v>
      </c>
      <c r="S41" s="25">
        <f t="shared" si="5"/>
        <v>0</v>
      </c>
    </row>
    <row r="42" spans="2:19" x14ac:dyDescent="0.25">
      <c r="B42" t="s">
        <v>411</v>
      </c>
      <c r="D42" s="25">
        <f t="shared" si="0"/>
        <v>0</v>
      </c>
      <c r="E42" s="25">
        <f t="shared" si="1"/>
        <v>0</v>
      </c>
      <c r="F42" s="25">
        <f t="shared" si="2"/>
        <v>0</v>
      </c>
      <c r="G42" s="25">
        <f t="shared" si="4"/>
        <v>0</v>
      </c>
      <c r="H42" s="25">
        <f t="shared" si="4"/>
        <v>0</v>
      </c>
      <c r="I42" s="25">
        <f t="shared" si="4"/>
        <v>0</v>
      </c>
      <c r="J42" s="25">
        <f t="shared" si="4"/>
        <v>0</v>
      </c>
      <c r="K42" s="25">
        <f t="shared" si="4"/>
        <v>0</v>
      </c>
      <c r="L42" s="25">
        <f t="shared" si="4"/>
        <v>0</v>
      </c>
      <c r="M42" s="25">
        <f t="shared" si="4"/>
        <v>0</v>
      </c>
      <c r="N42" s="25">
        <f t="shared" si="4"/>
        <v>0</v>
      </c>
      <c r="O42" s="25">
        <f t="shared" si="4"/>
        <v>0</v>
      </c>
      <c r="P42" s="25">
        <f t="shared" si="4"/>
        <v>0</v>
      </c>
      <c r="Q42" s="25">
        <f t="shared" si="4"/>
        <v>0</v>
      </c>
      <c r="R42" s="25">
        <f t="shared" si="6"/>
        <v>0</v>
      </c>
      <c r="S42" s="25">
        <f t="shared" si="5"/>
        <v>0</v>
      </c>
    </row>
    <row r="43" spans="2:19" x14ac:dyDescent="0.25">
      <c r="B43" t="s">
        <v>412</v>
      </c>
      <c r="D43" s="25">
        <f t="shared" si="0"/>
        <v>0</v>
      </c>
      <c r="E43" s="25">
        <f t="shared" si="1"/>
        <v>0</v>
      </c>
      <c r="F43" s="25">
        <f t="shared" si="2"/>
        <v>0</v>
      </c>
      <c r="G43" s="25">
        <f t="shared" si="4"/>
        <v>0</v>
      </c>
      <c r="H43" s="25">
        <f t="shared" si="4"/>
        <v>0</v>
      </c>
      <c r="I43" s="25">
        <f t="shared" si="4"/>
        <v>0</v>
      </c>
      <c r="J43" s="25">
        <f t="shared" si="4"/>
        <v>0</v>
      </c>
      <c r="K43" s="25">
        <f t="shared" si="4"/>
        <v>0</v>
      </c>
      <c r="L43" s="25">
        <f t="shared" si="4"/>
        <v>0</v>
      </c>
      <c r="M43" s="25">
        <f t="shared" si="4"/>
        <v>0</v>
      </c>
      <c r="N43" s="25">
        <f t="shared" si="4"/>
        <v>0</v>
      </c>
      <c r="O43" s="25">
        <f t="shared" si="4"/>
        <v>0</v>
      </c>
      <c r="P43" s="25">
        <f t="shared" si="4"/>
        <v>0</v>
      </c>
      <c r="Q43" s="25">
        <f t="shared" si="4"/>
        <v>0</v>
      </c>
      <c r="R43" s="25">
        <f t="shared" si="6"/>
        <v>0</v>
      </c>
      <c r="S43" s="25">
        <f t="shared" si="5"/>
        <v>0</v>
      </c>
    </row>
    <row r="44" spans="2:19" x14ac:dyDescent="0.25">
      <c r="B44" t="s">
        <v>413</v>
      </c>
      <c r="D44" s="25">
        <f t="shared" si="0"/>
        <v>0</v>
      </c>
      <c r="E44" s="25">
        <f t="shared" si="1"/>
        <v>0</v>
      </c>
      <c r="F44" s="25">
        <f t="shared" si="2"/>
        <v>0</v>
      </c>
      <c r="G44" s="25">
        <f t="shared" si="4"/>
        <v>0</v>
      </c>
      <c r="H44" s="25">
        <f t="shared" si="4"/>
        <v>0</v>
      </c>
      <c r="I44" s="25">
        <f t="shared" si="4"/>
        <v>0</v>
      </c>
      <c r="J44" s="25">
        <f t="shared" si="4"/>
        <v>0</v>
      </c>
      <c r="K44" s="25">
        <f t="shared" si="4"/>
        <v>0</v>
      </c>
      <c r="L44" s="25">
        <f t="shared" si="4"/>
        <v>0</v>
      </c>
      <c r="M44" s="25">
        <f t="shared" si="4"/>
        <v>0</v>
      </c>
      <c r="N44" s="25">
        <f t="shared" si="4"/>
        <v>0</v>
      </c>
      <c r="O44" s="25">
        <f t="shared" si="4"/>
        <v>0</v>
      </c>
      <c r="P44" s="25">
        <f t="shared" si="4"/>
        <v>0</v>
      </c>
      <c r="Q44" s="25">
        <f t="shared" si="4"/>
        <v>0</v>
      </c>
      <c r="R44" s="25">
        <f t="shared" si="6"/>
        <v>0</v>
      </c>
      <c r="S44" s="25">
        <f t="shared" si="5"/>
        <v>0</v>
      </c>
    </row>
    <row r="45" spans="2:19" x14ac:dyDescent="0.25">
      <c r="B45" t="s">
        <v>414</v>
      </c>
      <c r="D45" s="25">
        <f t="shared" si="0"/>
        <v>0</v>
      </c>
      <c r="E45" s="25">
        <f t="shared" si="1"/>
        <v>0</v>
      </c>
      <c r="F45" s="25">
        <f t="shared" si="2"/>
        <v>0</v>
      </c>
      <c r="G45" s="25">
        <f t="shared" si="4"/>
        <v>0</v>
      </c>
      <c r="H45" s="25">
        <f t="shared" si="4"/>
        <v>0</v>
      </c>
      <c r="I45" s="25">
        <f t="shared" si="4"/>
        <v>0</v>
      </c>
      <c r="J45" s="25">
        <f t="shared" si="4"/>
        <v>0</v>
      </c>
      <c r="K45" s="25">
        <f t="shared" si="4"/>
        <v>0</v>
      </c>
      <c r="L45" s="25">
        <f t="shared" si="4"/>
        <v>0</v>
      </c>
      <c r="M45" s="25">
        <f t="shared" si="4"/>
        <v>0</v>
      </c>
      <c r="N45" s="25">
        <f t="shared" si="4"/>
        <v>0</v>
      </c>
      <c r="O45" s="25">
        <f t="shared" si="4"/>
        <v>0</v>
      </c>
      <c r="P45" s="25">
        <f t="shared" si="4"/>
        <v>0</v>
      </c>
      <c r="Q45" s="25">
        <f t="shared" si="4"/>
        <v>0</v>
      </c>
      <c r="R45" s="25">
        <f t="shared" si="6"/>
        <v>0</v>
      </c>
      <c r="S45" s="25">
        <f t="shared" si="5"/>
        <v>0</v>
      </c>
    </row>
    <row r="46" spans="2:19" x14ac:dyDescent="0.25">
      <c r="B46" t="s">
        <v>415</v>
      </c>
      <c r="D46" s="25">
        <f t="shared" si="0"/>
        <v>0</v>
      </c>
      <c r="E46" s="25">
        <f t="shared" si="1"/>
        <v>0</v>
      </c>
      <c r="F46" s="25">
        <f t="shared" si="2"/>
        <v>0</v>
      </c>
      <c r="G46" s="25">
        <f t="shared" si="4"/>
        <v>0</v>
      </c>
      <c r="H46" s="25">
        <f t="shared" si="4"/>
        <v>0</v>
      </c>
      <c r="I46" s="25">
        <f t="shared" si="4"/>
        <v>0</v>
      </c>
      <c r="J46" s="25">
        <f t="shared" si="4"/>
        <v>0</v>
      </c>
      <c r="K46" s="25">
        <f t="shared" si="4"/>
        <v>0</v>
      </c>
      <c r="L46" s="25">
        <f t="shared" si="4"/>
        <v>0</v>
      </c>
      <c r="M46" s="25">
        <f t="shared" si="4"/>
        <v>0</v>
      </c>
      <c r="N46" s="25">
        <f t="shared" si="4"/>
        <v>0</v>
      </c>
      <c r="O46" s="25">
        <f t="shared" si="4"/>
        <v>0</v>
      </c>
      <c r="P46" s="25">
        <f t="shared" si="4"/>
        <v>0</v>
      </c>
      <c r="Q46" s="25">
        <f t="shared" si="4"/>
        <v>0</v>
      </c>
      <c r="R46" s="25">
        <f t="shared" si="6"/>
        <v>0</v>
      </c>
      <c r="S46" s="25">
        <f t="shared" si="5"/>
        <v>0</v>
      </c>
    </row>
    <row r="47" spans="2:19" x14ac:dyDescent="0.25">
      <c r="B47" t="s">
        <v>416</v>
      </c>
      <c r="D47" s="25">
        <f t="shared" si="0"/>
        <v>0</v>
      </c>
      <c r="E47" s="25">
        <f t="shared" si="1"/>
        <v>0</v>
      </c>
      <c r="F47" s="25">
        <f t="shared" si="2"/>
        <v>0</v>
      </c>
      <c r="G47" s="25">
        <f t="shared" si="4"/>
        <v>0</v>
      </c>
      <c r="H47" s="25">
        <f t="shared" si="4"/>
        <v>0</v>
      </c>
      <c r="I47" s="25">
        <f t="shared" si="4"/>
        <v>0</v>
      </c>
      <c r="J47" s="25">
        <f t="shared" si="4"/>
        <v>0</v>
      </c>
      <c r="K47" s="25">
        <f t="shared" si="4"/>
        <v>0</v>
      </c>
      <c r="L47" s="25">
        <f t="shared" si="4"/>
        <v>0</v>
      </c>
      <c r="M47" s="25">
        <f t="shared" si="4"/>
        <v>0</v>
      </c>
      <c r="N47" s="25">
        <f t="shared" si="4"/>
        <v>0</v>
      </c>
      <c r="O47" s="25">
        <f t="shared" si="4"/>
        <v>0</v>
      </c>
      <c r="P47" s="25">
        <f t="shared" si="4"/>
        <v>0</v>
      </c>
      <c r="Q47" s="25">
        <f t="shared" si="4"/>
        <v>0</v>
      </c>
      <c r="R47" s="25">
        <f t="shared" si="6"/>
        <v>0</v>
      </c>
      <c r="S47" s="25">
        <f t="shared" si="5"/>
        <v>0</v>
      </c>
    </row>
    <row r="48" spans="2:19" x14ac:dyDescent="0.25">
      <c r="B48" t="s">
        <v>417</v>
      </c>
      <c r="D48" s="25">
        <f t="shared" si="0"/>
        <v>0</v>
      </c>
      <c r="E48" s="25">
        <f t="shared" si="1"/>
        <v>0</v>
      </c>
      <c r="F48" s="25">
        <f t="shared" si="2"/>
        <v>0</v>
      </c>
      <c r="G48" s="25">
        <f t="shared" si="4"/>
        <v>0</v>
      </c>
      <c r="H48" s="25">
        <f t="shared" si="4"/>
        <v>0</v>
      </c>
      <c r="I48" s="25">
        <f t="shared" si="4"/>
        <v>0</v>
      </c>
      <c r="J48" s="25">
        <f t="shared" si="4"/>
        <v>0</v>
      </c>
      <c r="K48" s="25">
        <f t="shared" si="4"/>
        <v>0</v>
      </c>
      <c r="L48" s="25">
        <f t="shared" si="4"/>
        <v>0</v>
      </c>
      <c r="M48" s="25">
        <f t="shared" si="4"/>
        <v>0</v>
      </c>
      <c r="N48" s="25">
        <f t="shared" si="4"/>
        <v>0</v>
      </c>
      <c r="O48" s="25">
        <f t="shared" si="4"/>
        <v>0</v>
      </c>
      <c r="P48" s="25">
        <f t="shared" si="4"/>
        <v>0</v>
      </c>
      <c r="Q48" s="25">
        <f t="shared" si="4"/>
        <v>0</v>
      </c>
      <c r="R48" s="25">
        <f t="shared" si="6"/>
        <v>0</v>
      </c>
      <c r="S48" s="25">
        <f t="shared" si="5"/>
        <v>0</v>
      </c>
    </row>
    <row r="49" spans="2:19" x14ac:dyDescent="0.25">
      <c r="B49" t="s">
        <v>418</v>
      </c>
      <c r="D49" s="25">
        <f t="shared" si="0"/>
        <v>0</v>
      </c>
      <c r="E49" s="25">
        <f t="shared" si="1"/>
        <v>0</v>
      </c>
      <c r="F49" s="25">
        <f t="shared" si="2"/>
        <v>0</v>
      </c>
      <c r="G49" s="25">
        <f t="shared" si="4"/>
        <v>0</v>
      </c>
      <c r="H49" s="25">
        <f t="shared" si="4"/>
        <v>0</v>
      </c>
      <c r="I49" s="25">
        <f t="shared" si="4"/>
        <v>0</v>
      </c>
      <c r="J49" s="25">
        <f t="shared" si="4"/>
        <v>0</v>
      </c>
      <c r="K49" s="25">
        <f t="shared" si="4"/>
        <v>0</v>
      </c>
      <c r="L49" s="25">
        <f t="shared" si="4"/>
        <v>0</v>
      </c>
      <c r="M49" s="25">
        <f t="shared" si="4"/>
        <v>0</v>
      </c>
      <c r="N49" s="25">
        <f t="shared" si="4"/>
        <v>0</v>
      </c>
      <c r="O49" s="25">
        <f t="shared" si="4"/>
        <v>0</v>
      </c>
      <c r="P49" s="25">
        <f t="shared" si="4"/>
        <v>0</v>
      </c>
      <c r="Q49" s="25">
        <f t="shared" si="4"/>
        <v>0</v>
      </c>
      <c r="R49" s="25">
        <f t="shared" si="6"/>
        <v>0</v>
      </c>
      <c r="S49" s="25">
        <f t="shared" si="5"/>
        <v>0</v>
      </c>
    </row>
    <row r="50" spans="2:19" x14ac:dyDescent="0.25">
      <c r="B50" t="s">
        <v>419</v>
      </c>
      <c r="D50" s="25">
        <f t="shared" si="0"/>
        <v>0</v>
      </c>
      <c r="E50" s="25">
        <f t="shared" si="1"/>
        <v>0</v>
      </c>
      <c r="F50" s="25">
        <f t="shared" si="2"/>
        <v>0</v>
      </c>
      <c r="G50" s="25">
        <f t="shared" si="4"/>
        <v>0</v>
      </c>
      <c r="H50" s="25">
        <f t="shared" si="4"/>
        <v>0</v>
      </c>
      <c r="I50" s="25">
        <f t="shared" si="4"/>
        <v>0</v>
      </c>
      <c r="J50" s="25">
        <f t="shared" si="4"/>
        <v>0</v>
      </c>
      <c r="K50" s="25">
        <f t="shared" si="4"/>
        <v>0</v>
      </c>
      <c r="L50" s="25">
        <f t="shared" si="4"/>
        <v>0</v>
      </c>
      <c r="M50" s="25">
        <f t="shared" si="4"/>
        <v>0</v>
      </c>
      <c r="N50" s="25">
        <f t="shared" si="4"/>
        <v>0</v>
      </c>
      <c r="O50" s="25">
        <f t="shared" si="4"/>
        <v>0</v>
      </c>
      <c r="P50" s="25">
        <f t="shared" si="4"/>
        <v>0</v>
      </c>
      <c r="Q50" s="25">
        <f t="shared" si="4"/>
        <v>0</v>
      </c>
      <c r="R50" s="25">
        <f t="shared" si="6"/>
        <v>0</v>
      </c>
      <c r="S50" s="25">
        <f t="shared" si="5"/>
        <v>0</v>
      </c>
    </row>
    <row r="51" spans="2:19" x14ac:dyDescent="0.25">
      <c r="B51" t="s">
        <v>420</v>
      </c>
      <c r="D51" s="25">
        <f t="shared" si="0"/>
        <v>0</v>
      </c>
      <c r="E51" s="25">
        <f t="shared" si="1"/>
        <v>0</v>
      </c>
      <c r="F51" s="25">
        <f t="shared" si="2"/>
        <v>0</v>
      </c>
      <c r="G51" s="25">
        <f t="shared" si="4"/>
        <v>0</v>
      </c>
      <c r="H51" s="25">
        <f t="shared" si="4"/>
        <v>0</v>
      </c>
      <c r="I51" s="25">
        <f t="shared" si="4"/>
        <v>0</v>
      </c>
      <c r="J51" s="25">
        <f t="shared" si="4"/>
        <v>0</v>
      </c>
      <c r="K51" s="25">
        <f t="shared" si="4"/>
        <v>0</v>
      </c>
      <c r="L51" s="25">
        <f t="shared" si="4"/>
        <v>0</v>
      </c>
      <c r="M51" s="25">
        <f t="shared" si="4"/>
        <v>0</v>
      </c>
      <c r="N51" s="25">
        <f t="shared" si="4"/>
        <v>0</v>
      </c>
      <c r="O51" s="25">
        <f t="shared" si="4"/>
        <v>0</v>
      </c>
      <c r="P51" s="25">
        <f t="shared" si="4"/>
        <v>0</v>
      </c>
      <c r="Q51" s="25">
        <f t="shared" si="4"/>
        <v>0</v>
      </c>
      <c r="R51" s="25">
        <f t="shared" si="6"/>
        <v>0</v>
      </c>
      <c r="S51" s="25">
        <f t="shared" si="5"/>
        <v>0</v>
      </c>
    </row>
    <row r="52" spans="2:19" x14ac:dyDescent="0.25">
      <c r="B52" t="s">
        <v>421</v>
      </c>
      <c r="D52" s="25">
        <f t="shared" si="0"/>
        <v>0</v>
      </c>
      <c r="E52" s="25">
        <f t="shared" si="1"/>
        <v>0</v>
      </c>
      <c r="F52" s="25">
        <f t="shared" si="2"/>
        <v>0</v>
      </c>
      <c r="G52" s="25">
        <f t="shared" si="4"/>
        <v>0</v>
      </c>
      <c r="H52" s="25">
        <f t="shared" si="4"/>
        <v>0</v>
      </c>
      <c r="I52" s="25">
        <f t="shared" si="4"/>
        <v>0</v>
      </c>
      <c r="J52" s="25">
        <f t="shared" si="4"/>
        <v>0</v>
      </c>
      <c r="K52" s="25">
        <f t="shared" si="4"/>
        <v>0</v>
      </c>
      <c r="L52" s="25">
        <f t="shared" si="4"/>
        <v>0</v>
      </c>
      <c r="M52" s="25">
        <f t="shared" si="4"/>
        <v>0</v>
      </c>
      <c r="N52" s="25">
        <f t="shared" si="4"/>
        <v>0</v>
      </c>
      <c r="O52" s="25">
        <f t="shared" si="4"/>
        <v>0</v>
      </c>
      <c r="P52" s="25">
        <f t="shared" si="4"/>
        <v>0</v>
      </c>
      <c r="Q52" s="25">
        <f t="shared" si="4"/>
        <v>0</v>
      </c>
      <c r="R52" s="25">
        <f t="shared" si="6"/>
        <v>0</v>
      </c>
      <c r="S52" s="25">
        <f t="shared" si="5"/>
        <v>0</v>
      </c>
    </row>
    <row r="53" spans="2:19" x14ac:dyDescent="0.25">
      <c r="B53" t="s">
        <v>422</v>
      </c>
      <c r="D53" s="25">
        <f t="shared" si="0"/>
        <v>0</v>
      </c>
      <c r="E53" s="25">
        <f t="shared" si="1"/>
        <v>0</v>
      </c>
      <c r="F53" s="25">
        <f t="shared" si="2"/>
        <v>0</v>
      </c>
      <c r="G53" s="25">
        <f t="shared" si="4"/>
        <v>0</v>
      </c>
      <c r="H53" s="25">
        <f t="shared" si="4"/>
        <v>0</v>
      </c>
      <c r="I53" s="25">
        <f t="shared" si="4"/>
        <v>0</v>
      </c>
      <c r="J53" s="25">
        <f t="shared" si="4"/>
        <v>0</v>
      </c>
      <c r="K53" s="25">
        <f t="shared" si="4"/>
        <v>0</v>
      </c>
      <c r="L53" s="25">
        <f t="shared" si="4"/>
        <v>0</v>
      </c>
      <c r="M53" s="25">
        <f t="shared" si="4"/>
        <v>0</v>
      </c>
      <c r="N53" s="25">
        <f t="shared" si="4"/>
        <v>0</v>
      </c>
      <c r="O53" s="25">
        <f t="shared" si="4"/>
        <v>0</v>
      </c>
      <c r="P53" s="25">
        <f t="shared" si="4"/>
        <v>0</v>
      </c>
      <c r="Q53" s="25">
        <f t="shared" si="4"/>
        <v>0</v>
      </c>
      <c r="R53" s="25">
        <f t="shared" si="6"/>
        <v>0</v>
      </c>
      <c r="S53" s="25">
        <f t="shared" si="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7657-E85B-42E1-8F90-673E20BFBB40}">
  <dimension ref="A1:AD50"/>
  <sheetViews>
    <sheetView topLeftCell="C23" workbookViewId="0">
      <selection activeCell="J29" sqref="J29"/>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3</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s="21">
        <v>2.13</v>
      </c>
      <c r="L22" s="21" t="s">
        <v>0</v>
      </c>
      <c r="M22" s="21">
        <v>1</v>
      </c>
      <c r="N22" s="21" t="s">
        <v>362</v>
      </c>
      <c r="O22" s="21">
        <v>1</v>
      </c>
    </row>
    <row r="23" spans="1:30" x14ac:dyDescent="0.25">
      <c r="A23" s="155"/>
      <c r="B23" s="13" t="s">
        <v>90</v>
      </c>
      <c r="C23" s="14" t="s">
        <v>91</v>
      </c>
      <c r="D23" s="12" t="s">
        <v>92</v>
      </c>
      <c r="E23" s="15">
        <f>VLOOKUP($E$7,lanefactUsixty,2)</f>
        <v>1.42</v>
      </c>
      <c r="F23" s="12"/>
      <c r="H23" s="21" t="s">
        <v>158</v>
      </c>
      <c r="I23" s="21">
        <v>0.76</v>
      </c>
      <c r="J23" s="32">
        <v>3</v>
      </c>
      <c r="K23" s="21">
        <v>1.85</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s="21">
        <v>1.49</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s="21">
        <v>1.42</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0.56799999999999995</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INDEX(Likelihood!C4:N29,'1.1 60 U'!I16,'1.1 60 U'!I15)</f>
        <v>0.28999999999999998</v>
      </c>
      <c r="F28" s="12"/>
      <c r="AC28" s="29" t="s">
        <v>366</v>
      </c>
      <c r="AD28" s="17">
        <v>1</v>
      </c>
    </row>
    <row r="29" spans="1:30" ht="45" x14ac:dyDescent="0.25">
      <c r="A29" s="155"/>
      <c r="B29" s="13" t="s">
        <v>108</v>
      </c>
      <c r="C29" s="14" t="s">
        <v>109</v>
      </c>
      <c r="D29" s="12" t="s">
        <v>110</v>
      </c>
      <c r="E29" s="37">
        <f>1-((E18+18)/MIN(E19,E9))</f>
        <v>0.96199999999999997</v>
      </c>
      <c r="F29" s="12">
        <v>1</v>
      </c>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INDEX(Likelihood!C4:N29,'1.1 60 U'!I18,'1.1 60 U'!I17)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(0.592*0.4*F33)/100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Index'!C3:H108,'1.1 60 U'!I35,'1.1 60 U'!I33)</f>
        <v>0</v>
      </c>
      <c r="F34" s="12"/>
      <c r="H34" t="str">
        <f>E4</f>
        <v>60 km/h</v>
      </c>
      <c r="I34">
        <f>MATCH(H34,'Trauma Index'!C2:H2,0)</f>
        <v>6</v>
      </c>
      <c r="AC34" s="29" t="s">
        <v>372</v>
      </c>
      <c r="AD34" s="17">
        <v>1.5</v>
      </c>
    </row>
    <row r="35" spans="1:30" ht="30" x14ac:dyDescent="0.25">
      <c r="A35" s="154"/>
      <c r="B35" s="13" t="s">
        <v>127</v>
      </c>
      <c r="C35" s="14" t="s">
        <v>128</v>
      </c>
      <c r="D35" s="12" t="s">
        <v>129</v>
      </c>
      <c r="E35" s="37" cm="1">
        <f t="array" ref="E35">INDEX('Trauma Index'!C3:H108,'1.1 60 U'!I35,'1.1 60 U'!I34)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Index'!C3:H108,'1.1 60 U'!I36,'1.1 60 U'!I33)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Index'!C3:H108,'1.1 60 U'!I36,'1.1 60 U'!I34)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E27*E33*E38*0.4</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126A-5FBC-4F4A-AB4A-EBBBFD36560A}">
  <dimension ref="A1:AD50"/>
  <sheetViews>
    <sheetView topLeftCell="D18"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157</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s="21">
        <v>2.13</v>
      </c>
      <c r="L22" s="21" t="s">
        <v>0</v>
      </c>
      <c r="M22" s="21">
        <v>1</v>
      </c>
      <c r="N22" s="21" t="s">
        <v>362</v>
      </c>
      <c r="O22" s="21">
        <v>1</v>
      </c>
    </row>
    <row r="23" spans="1:30" x14ac:dyDescent="0.25">
      <c r="A23" s="155"/>
      <c r="B23" s="13" t="s">
        <v>90</v>
      </c>
      <c r="C23" s="14" t="s">
        <v>91</v>
      </c>
      <c r="D23" s="12" t="s">
        <v>92</v>
      </c>
      <c r="E23" s="15">
        <f>VLOOKUP($E$7,lanefactUsixty,2)</f>
        <v>1.42</v>
      </c>
      <c r="F23" s="12"/>
      <c r="H23" s="21" t="s">
        <v>158</v>
      </c>
      <c r="I23" s="21">
        <v>0.76</v>
      </c>
      <c r="J23" s="32">
        <v>3</v>
      </c>
      <c r="K23" s="21">
        <v>1.85</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s="21">
        <v>1.49</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s="21">
        <v>1.42</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0.56799999999999995</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INDEX(Likelihood!C4:N29,'1.2 70 U'!I16,'1.2 70 U'!I15)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INDEX(Likelihood!C4:N29,'1.2 70 U'!I18,'1.2 70 U'!I17)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(0.592*0.4*F33)/100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Index'!C3:H108,'1.2 70 U'!I35,'1.2 70 U'!I33)</f>
        <v>0</v>
      </c>
      <c r="F34" s="12"/>
      <c r="H34" t="str">
        <f>E4</f>
        <v>70 km/h</v>
      </c>
      <c r="I34">
        <f>MATCH(H34,'Trauma Index'!C2:H2,0)</f>
        <v>5</v>
      </c>
      <c r="AC34" s="29" t="s">
        <v>372</v>
      </c>
      <c r="AD34" s="17">
        <v>1.5</v>
      </c>
    </row>
    <row r="35" spans="1:30" ht="30" x14ac:dyDescent="0.25">
      <c r="A35" s="154"/>
      <c r="B35" s="13" t="s">
        <v>127</v>
      </c>
      <c r="C35" s="14" t="s">
        <v>128</v>
      </c>
      <c r="D35" s="12" t="s">
        <v>129</v>
      </c>
      <c r="E35" s="37" cm="1">
        <f t="array" ref="E35">INDEX('Trauma Index'!C3:H108,'1.2 70 U'!I35,'1.2 70 U'!I34)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Index'!C3:H108,'1.2 70 U'!I36,'1.2 70 U'!I33)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Index'!C3:H108,'1.2 70 U'!I36,'1.2 70 U'!I34)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47EC-D65C-4C96-B103-7AA37C24B632}">
  <dimension ref="A1:AD52"/>
  <sheetViews>
    <sheetView topLeftCell="D23"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161</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2.13</v>
      </c>
      <c r="L22" s="21" t="s">
        <v>0</v>
      </c>
      <c r="M22" s="21">
        <v>1</v>
      </c>
      <c r="N22" s="21" t="s">
        <v>362</v>
      </c>
      <c r="O22" s="21">
        <v>1</v>
      </c>
    </row>
    <row r="23" spans="1:30" x14ac:dyDescent="0.25">
      <c r="A23" s="155"/>
      <c r="B23" s="13" t="s">
        <v>90</v>
      </c>
      <c r="C23" s="14" t="s">
        <v>91</v>
      </c>
      <c r="D23" s="12" t="s">
        <v>92</v>
      </c>
      <c r="E23" s="15">
        <f>VLOOKUP($E$7,lanefactUsixty,2)</f>
        <v>1.42</v>
      </c>
      <c r="F23" s="12"/>
      <c r="H23" s="21" t="s">
        <v>158</v>
      </c>
      <c r="I23" s="21">
        <v>0.76</v>
      </c>
      <c r="J23" s="32">
        <v>3</v>
      </c>
      <c r="K23">
        <v>1.85</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1.49</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1.42</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0.56799999999999995</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INDEX(Likelihood!C33:N58,'1.3 80 U'!I16,'1.3 80 U'!I15)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INDEX(Likelihood!C33:N58,'1.3 80 U'!I18,'1.3 80 U'!I17)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Index'!C3:H108,'1.3 80 U'!I35,'1.3 80 U'!I33)</f>
        <v>0</v>
      </c>
      <c r="F34" s="12"/>
      <c r="H34" t="str">
        <f>E4</f>
        <v>80 km/h</v>
      </c>
      <c r="I34">
        <f>MATCH(H34,'Trauma Index'!C2:H2,0)</f>
        <v>4</v>
      </c>
      <c r="AC34" s="42" t="s">
        <v>370</v>
      </c>
      <c r="AD34" s="43">
        <v>1</v>
      </c>
    </row>
    <row r="35" spans="1:30" ht="30" x14ac:dyDescent="0.25">
      <c r="A35" s="154"/>
      <c r="B35" s="13" t="s">
        <v>127</v>
      </c>
      <c r="C35" s="14" t="s">
        <v>128</v>
      </c>
      <c r="D35" s="12" t="s">
        <v>129</v>
      </c>
      <c r="E35" s="37" cm="1">
        <f t="array" ref="E35">INDEX('Trauma Index'!C3:H108,'1.3 80 U'!I35,'1.3 80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Index'!C3:H108,'1.3 80 U'!I36,'1.3 80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Index'!C3:H108,'1.3 80 U'!I36,'1.3 80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3D14-3B0B-4B5F-8E09-CEB7E36E5A98}">
  <dimension ref="A1:AD52"/>
  <sheetViews>
    <sheetView topLeftCell="C16"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162</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2.13</v>
      </c>
      <c r="L22" s="21" t="s">
        <v>0</v>
      </c>
      <c r="M22" s="21">
        <v>1</v>
      </c>
      <c r="N22" s="21" t="s">
        <v>362</v>
      </c>
      <c r="O22" s="21">
        <v>1</v>
      </c>
    </row>
    <row r="23" spans="1:30" x14ac:dyDescent="0.25">
      <c r="A23" s="155"/>
      <c r="B23" s="13" t="s">
        <v>90</v>
      </c>
      <c r="C23" s="14" t="s">
        <v>91</v>
      </c>
      <c r="D23" s="12" t="s">
        <v>92</v>
      </c>
      <c r="E23" s="15">
        <f>VLOOKUP($E$7,lanefactUsixty,2)</f>
        <v>1.42</v>
      </c>
      <c r="F23" s="12"/>
      <c r="H23" s="21" t="s">
        <v>158</v>
      </c>
      <c r="I23" s="21">
        <v>0.76</v>
      </c>
      <c r="J23" s="32">
        <v>3</v>
      </c>
      <c r="K23">
        <v>1.85</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1.49</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1.42</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0.56799999999999995</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INDEX(Likelihood!C33:N58,'1.4 90 U'!I16,'1.4 90 U'!I15)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INDEX(Likelihood!C33:N58,'1.4 90 U'!I18,'1.4 90 U'!I17)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Index'!C3:H108,'1.4 90 U'!I35,'1.4 90 U'!I33)</f>
        <v>0</v>
      </c>
      <c r="F34" s="12"/>
      <c r="H34" t="str">
        <f>E4</f>
        <v>90 km/h</v>
      </c>
      <c r="I34">
        <f>MATCH(H34,'Trauma Index'!C2:H2,0)</f>
        <v>3</v>
      </c>
      <c r="AC34" s="42" t="s">
        <v>370</v>
      </c>
      <c r="AD34" s="43">
        <v>1</v>
      </c>
    </row>
    <row r="35" spans="1:30" ht="30" x14ac:dyDescent="0.25">
      <c r="A35" s="154"/>
      <c r="B35" s="13" t="s">
        <v>127</v>
      </c>
      <c r="C35" s="14" t="s">
        <v>128</v>
      </c>
      <c r="D35" s="12" t="s">
        <v>129</v>
      </c>
      <c r="E35" s="37" cm="1">
        <f t="array" ref="E35">INDEX('Trauma Index'!C3:H108,'1.4 90 U'!I35,'1.4 90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Index'!C3:H108,'1.4 90 U'!I36,'1.4 90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Index'!C3:H108,'1.4 90 U'!I36,'1.4 90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D76D-B24E-4487-AD24-85DD286E68FB}">
  <dimension ref="A1:AD52"/>
  <sheetViews>
    <sheetView topLeftCell="B22"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163</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2.13</v>
      </c>
      <c r="L22" s="21" t="s">
        <v>0</v>
      </c>
      <c r="M22" s="21">
        <v>1</v>
      </c>
      <c r="N22" s="21" t="s">
        <v>362</v>
      </c>
      <c r="O22" s="21">
        <v>1</v>
      </c>
    </row>
    <row r="23" spans="1:30" x14ac:dyDescent="0.25">
      <c r="A23" s="155"/>
      <c r="B23" s="13" t="s">
        <v>90</v>
      </c>
      <c r="C23" s="14" t="s">
        <v>91</v>
      </c>
      <c r="D23" s="12" t="s">
        <v>92</v>
      </c>
      <c r="E23" s="15">
        <f>VLOOKUP($E$7,lanefactUsixty,2)</f>
        <v>1.42</v>
      </c>
      <c r="F23" s="12"/>
      <c r="H23" s="21" t="s">
        <v>158</v>
      </c>
      <c r="I23" s="21">
        <v>0.76</v>
      </c>
      <c r="J23" s="32">
        <v>3</v>
      </c>
      <c r="K23">
        <v>1.85</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1.49</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1.42</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0.56799999999999995</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INDEX(Likelihood!C62:N87,'1.5 100 U'!I16,'1.5 100 U'!I15)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INDEX(Likelihood!C62:N87,'1.5 100 U'!I18,'1.5 100 U'!I17)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Index'!C3:H108,'1.5 100 U'!I35,'1.5 100 U'!I33)</f>
        <v>0</v>
      </c>
      <c r="F34" s="12"/>
      <c r="H34" t="str">
        <f>E4</f>
        <v>100 km/h</v>
      </c>
      <c r="I34">
        <f>MATCH(H34,'Trauma Index'!C2:H2,0)</f>
        <v>2</v>
      </c>
      <c r="AC34" s="42" t="s">
        <v>370</v>
      </c>
      <c r="AD34" s="43">
        <v>1</v>
      </c>
    </row>
    <row r="35" spans="1:30" ht="30" x14ac:dyDescent="0.25">
      <c r="A35" s="154"/>
      <c r="B35" s="13" t="s">
        <v>127</v>
      </c>
      <c r="C35" s="14" t="s">
        <v>128</v>
      </c>
      <c r="D35" s="12" t="s">
        <v>129</v>
      </c>
      <c r="E35" s="37" cm="1">
        <f t="array" ref="E35">INDEX('Trauma Index'!C3:H108,'1.5 100 U'!I35,'1.5 100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Index'!C3:H108,'1.5 100 U'!I36,'1.5 100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Index'!C3:H108,'1.5 100 U'!I36,'1.5 100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764C2-493E-4453-B4A1-545F5E41EF65}">
  <dimension ref="A1:AD52"/>
  <sheetViews>
    <sheetView topLeftCell="C17"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164</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2.13</v>
      </c>
      <c r="L22" s="21" t="s">
        <v>0</v>
      </c>
      <c r="M22" s="21">
        <v>1</v>
      </c>
      <c r="N22" s="21" t="s">
        <v>362</v>
      </c>
      <c r="O22" s="21">
        <v>1</v>
      </c>
    </row>
    <row r="23" spans="1:30" x14ac:dyDescent="0.25">
      <c r="A23" s="155"/>
      <c r="B23" s="13" t="s">
        <v>90</v>
      </c>
      <c r="C23" s="14" t="s">
        <v>91</v>
      </c>
      <c r="D23" s="12" t="s">
        <v>92</v>
      </c>
      <c r="E23" s="15">
        <f>VLOOKUP($E$7,lanefactUsixty,2)</f>
        <v>1.42</v>
      </c>
      <c r="F23" s="12"/>
      <c r="H23" s="21" t="s">
        <v>158</v>
      </c>
      <c r="I23" s="21">
        <v>0.76</v>
      </c>
      <c r="J23" s="32">
        <v>3</v>
      </c>
      <c r="K23">
        <v>1.85</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1.49</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1.42</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0.56799999999999995</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INDEX(Likelihood!C62:N87,'1.6 110 U'!I16,'1.6 110 U'!I15)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INDEX(Likelihood!C62:N87,'1.6 110 U'!I18,'1.6 110 U'!I17)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Index'!C3:H108,'1.6 110 U'!I35,'1.6 110 U'!I33)</f>
        <v>0</v>
      </c>
      <c r="F34" s="12"/>
      <c r="H34" t="str">
        <f>E4</f>
        <v>110 km/h</v>
      </c>
      <c r="I34">
        <f>MATCH(H34,'Trauma Index'!C2:H2,0)</f>
        <v>1</v>
      </c>
      <c r="AC34" s="42" t="s">
        <v>370</v>
      </c>
      <c r="AD34" s="43">
        <v>1</v>
      </c>
    </row>
    <row r="35" spans="1:30" ht="30" x14ac:dyDescent="0.25">
      <c r="A35" s="154"/>
      <c r="B35" s="13" t="s">
        <v>127</v>
      </c>
      <c r="C35" s="14" t="s">
        <v>128</v>
      </c>
      <c r="D35" s="12" t="s">
        <v>129</v>
      </c>
      <c r="E35" s="37" cm="1">
        <f t="array" ref="E35">INDEX('Trauma Index'!C3:H108,'1.6 110 U'!I35,'1.6 110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Index'!C3:H108,'1.6 110 U'!I36,'1.6 110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Index'!C3:H108,'1.6 110 U'!I36,'1.6 110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39D0-8104-4D2F-A6E5-86658B0FE8B7}">
  <dimension ref="A1:AD50"/>
  <sheetViews>
    <sheetView topLeftCell="A17" workbookViewId="0">
      <selection activeCell="E21" sqref="E21"/>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3</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INDEX(Likelihood!C4:N29,'2.1 60 D'!I16,'2.1 60 D'!I15)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INDEX(Likelihood!C4:N29,'2.1 60 D'!I18,'2.1 60 D'!I17)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(0.592*1*F33)/100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Index'!C3:H108,'2.1 60 D'!I35,'2.1 60 D'!I33)</f>
        <v>0</v>
      </c>
      <c r="F34" s="12"/>
      <c r="H34" t="str">
        <f>E4</f>
        <v>60 km/h</v>
      </c>
      <c r="I34">
        <f>MATCH(H34,'Trauma Index'!C2:H2,0)</f>
        <v>6</v>
      </c>
      <c r="AC34" s="29" t="s">
        <v>372</v>
      </c>
      <c r="AD34" s="17">
        <v>1.5</v>
      </c>
    </row>
    <row r="35" spans="1:30" ht="30" x14ac:dyDescent="0.25">
      <c r="A35" s="154"/>
      <c r="B35" s="13" t="s">
        <v>127</v>
      </c>
      <c r="C35" s="14" t="s">
        <v>128</v>
      </c>
      <c r="D35" s="12" t="s">
        <v>129</v>
      </c>
      <c r="E35" s="37" cm="1">
        <f t="array" ref="E35">INDEX('Trauma Index'!C3:H108,'2.1 60 D'!I35,'2.1 60 D'!I34)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Index'!C3:H108,'2.1 60 D'!I36,'2.1 60 D'!I33)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Index'!C3:H108,'2.1 60 D'!I36,'2.1 60 D'!I34)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9EA7-E55B-4CC2-8EC4-BF6D1B025A62}">
  <dimension ref="A1:AD50"/>
  <sheetViews>
    <sheetView topLeftCell="C20"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157</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INDEX(Likelihood!C4:N29,'2.2 70 D'!I16,'2.2 70 D'!I15)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INDEX(Likelihood!C4:N29,'2.2 70 D'!I18,'2.2 70 D'!I17)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(0.592*1*F33)/100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Index'!C3:H108,'2.2 70 D'!I35,'2.2 70 D'!I33)</f>
        <v>0</v>
      </c>
      <c r="F34" s="12"/>
      <c r="H34" t="str">
        <f>E4</f>
        <v>70 km/h</v>
      </c>
      <c r="I34">
        <f>MATCH(H34,'Trauma Index'!C2:H2,0)</f>
        <v>5</v>
      </c>
      <c r="AC34" s="29" t="s">
        <v>372</v>
      </c>
      <c r="AD34" s="17">
        <v>1.5</v>
      </c>
    </row>
    <row r="35" spans="1:30" ht="30" x14ac:dyDescent="0.25">
      <c r="A35" s="154"/>
      <c r="B35" s="13" t="s">
        <v>127</v>
      </c>
      <c r="C35" s="14" t="s">
        <v>128</v>
      </c>
      <c r="D35" s="12" t="s">
        <v>129</v>
      </c>
      <c r="E35" s="37" cm="1">
        <f t="array" ref="E35">INDEX('Trauma Index'!C3:H108,'2.2 70 D'!I35,'2.2 70 D'!I34)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Index'!C3:H108,'2.2 70 D'!I36,'2.2 70 D'!I33)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Index'!C3:H108,'2.2 70 D'!I36,'2.2 70 D'!I34)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FAE2-BBAF-4380-8F3E-8E398690C1E2}">
  <dimension ref="A1:AD52"/>
  <sheetViews>
    <sheetView topLeftCell="D13"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161</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INDEX(Likelihood!C33:N58,'2.3 80 D'!I16,'2.3 80 D'!I15)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INDEX(Likelihood!C33:N58,'2.3 80 D'!I18,'2.3 80 D'!I17)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Index'!C3:H108,'2.3 80 D'!I35,'2.3 80 D'!I33)</f>
        <v>0</v>
      </c>
      <c r="F34" s="12"/>
      <c r="H34" t="str">
        <f>E4</f>
        <v>80 km/h</v>
      </c>
      <c r="I34">
        <f>MATCH(H34,'Trauma Index'!C2:H2,0)</f>
        <v>4</v>
      </c>
      <c r="AC34" s="42" t="s">
        <v>370</v>
      </c>
      <c r="AD34" s="43">
        <v>1</v>
      </c>
    </row>
    <row r="35" spans="1:30" ht="30" x14ac:dyDescent="0.25">
      <c r="A35" s="154"/>
      <c r="B35" s="13" t="s">
        <v>127</v>
      </c>
      <c r="C35" s="14" t="s">
        <v>128</v>
      </c>
      <c r="D35" s="12" t="s">
        <v>129</v>
      </c>
      <c r="E35" s="37" cm="1">
        <f t="array" ref="E35">INDEX('Trauma Index'!C3:H108,'2.3 80 D'!I35,'2.3 80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Index'!C3:H108,'2.3 80 D'!I36,'2.3 80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Index'!C3:H108,'2.3 80 D'!I36,'2.3 80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182DE-8ECA-4389-93BA-A5D5062DC354}">
  <dimension ref="A1:AD52"/>
  <sheetViews>
    <sheetView topLeftCell="C13"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162</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INDEX(Likelihood!C33:N58,'2.4 90 D'!I16,'2.4 90 D'!I15)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INDEX(Likelihood!C33:N58,'2.4 90 D'!I18,'2.4 90 D'!I17)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Index'!C3:H108,'2.4 90 D'!I35,'2.4 90 D'!I33)</f>
        <v>0</v>
      </c>
      <c r="F34" s="12"/>
      <c r="H34" t="str">
        <f>E4</f>
        <v>90 km/h</v>
      </c>
      <c r="I34">
        <f>MATCH(H34,'Trauma Index'!C2:H2,0)</f>
        <v>3</v>
      </c>
      <c r="AC34" s="42" t="s">
        <v>370</v>
      </c>
      <c r="AD34" s="43">
        <v>1</v>
      </c>
    </row>
    <row r="35" spans="1:30" ht="30" x14ac:dyDescent="0.25">
      <c r="A35" s="154"/>
      <c r="B35" s="13" t="s">
        <v>127</v>
      </c>
      <c r="C35" s="14" t="s">
        <v>128</v>
      </c>
      <c r="D35" s="12" t="s">
        <v>129</v>
      </c>
      <c r="E35" s="37" cm="1">
        <f t="array" ref="E35">INDEX('Trauma Index'!C3:H108,'2.4 90 D'!I35,'2.4 90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Index'!C3:H108,'2.4 90 D'!I36,'2.4 90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Index'!C3:H108,'2.4 90 D'!I36,'2.4 90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F8C9-10D9-45AC-9B9F-6F256D37BF1C}">
  <dimension ref="A1:AD52"/>
  <sheetViews>
    <sheetView topLeftCell="D17"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163</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INDEX(Likelihood!C62:N87,'2.5 100 D'!I16,'2.5 100 D'!I15)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INDEX(Likelihood!C62:N87,'2.5 100 D'!I18,'2.5 100 D'!I17)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Index'!C3:H108,'2.5 100 D'!I35,'2.5 100 D'!I33)</f>
        <v>0</v>
      </c>
      <c r="F34" s="12"/>
      <c r="H34" t="str">
        <f>E4</f>
        <v>100 km/h</v>
      </c>
      <c r="I34">
        <f>MATCH(H34,'Trauma Index'!C2:H2,0)</f>
        <v>2</v>
      </c>
      <c r="AC34" s="42" t="s">
        <v>370</v>
      </c>
      <c r="AD34" s="43">
        <v>1</v>
      </c>
    </row>
    <row r="35" spans="1:30" ht="30" x14ac:dyDescent="0.25">
      <c r="A35" s="154"/>
      <c r="B35" s="13" t="s">
        <v>127</v>
      </c>
      <c r="C35" s="14" t="s">
        <v>128</v>
      </c>
      <c r="D35" s="12" t="s">
        <v>129</v>
      </c>
      <c r="E35" s="37" cm="1">
        <f t="array" ref="E35">INDEX('Trauma Index'!C3:H108,'2.5 100 D'!I35,'2.5 100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Index'!C3:H108,'2.5 100 D'!I36,'2.5 100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Index'!C3:H108,'2.5 100 D'!I36,'2.5 100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F5C4-7FC8-4EAB-86C6-FAE1C3F1A738}">
  <dimension ref="A1:AD52"/>
  <sheetViews>
    <sheetView topLeftCell="D11"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v>
      </c>
      <c r="F3" s="12"/>
    </row>
    <row r="4" spans="1:9" ht="30" x14ac:dyDescent="0.25">
      <c r="A4" s="154"/>
      <c r="B4" s="13" t="s">
        <v>49</v>
      </c>
      <c r="C4" s="14" t="s">
        <v>50</v>
      </c>
      <c r="D4" s="12" t="s">
        <v>46</v>
      </c>
      <c r="E4" s="30" t="s">
        <v>164</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INDEX(Likelihood!C62:N87,'2.6 110 D'!I16,'2.6 110 D'!I15)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INDEX(Likelihood!C62:N87,'2.6 110 D'!I18,'2.6 110 D'!I17)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Index'!C3:H108,'2.6 110 D'!I35,'2.6 110 D'!I33)</f>
        <v>0</v>
      </c>
      <c r="F34" s="12"/>
      <c r="H34" t="str">
        <f>E4</f>
        <v>110 km/h</v>
      </c>
      <c r="I34">
        <f>MATCH(H34,'Trauma Index'!C2:H2,0)</f>
        <v>1</v>
      </c>
      <c r="AC34" s="42" t="s">
        <v>370</v>
      </c>
      <c r="AD34" s="43">
        <v>1</v>
      </c>
    </row>
    <row r="35" spans="1:30" ht="30" x14ac:dyDescent="0.25">
      <c r="A35" s="154"/>
      <c r="B35" s="13" t="s">
        <v>127</v>
      </c>
      <c r="C35" s="14" t="s">
        <v>128</v>
      </c>
      <c r="D35" s="12" t="s">
        <v>129</v>
      </c>
      <c r="E35" s="37" cm="1">
        <f t="array" ref="E35">INDEX('Trauma Index'!C3:H108,'2.6 110 D'!I35,'2.6 110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Index'!C3:H108,'2.6 110 D'!I36,'2.6 110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Index'!C3:H108,'2.6 110 D'!I36,'2.6 110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2BDD-C860-46EF-A2EA-6E6C96639461}">
  <dimension ref="A1:AD50"/>
  <sheetViews>
    <sheetView topLeftCell="C19"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3</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1.5</v>
      </c>
      <c r="L22" s="21" t="s">
        <v>0</v>
      </c>
      <c r="M22" s="21">
        <v>1</v>
      </c>
      <c r="N22" s="21" t="s">
        <v>362</v>
      </c>
      <c r="O22" s="21">
        <v>1</v>
      </c>
    </row>
    <row r="23" spans="1:30" x14ac:dyDescent="0.25">
      <c r="A23" s="155"/>
      <c r="B23" s="13" t="s">
        <v>90</v>
      </c>
      <c r="C23" s="14" t="s">
        <v>91</v>
      </c>
      <c r="D23" s="12" t="s">
        <v>92</v>
      </c>
      <c r="E23" s="15">
        <f>VLOOKUP($E$7,lanefactUsixty,2)</f>
        <v>1</v>
      </c>
      <c r="F23" s="12"/>
      <c r="H23" s="21" t="s">
        <v>158</v>
      </c>
      <c r="I23" s="21">
        <v>0.76</v>
      </c>
      <c r="J23" s="32">
        <v>3</v>
      </c>
      <c r="K23">
        <v>1.3</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1.05</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0.4</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INDEX(Likelihood!C4:N29,'3.1 60 U'!I16,'3.1 60 U'!I15)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INDEX(Likelihood!C4:N29,'3.1 60 U'!I18,'3.1 60 U'!I17)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(0.592*0.4*F33)/100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Index'!C3:H108,'3.1 60 U'!I35,'3.1 60 U'!I33)</f>
        <v>0</v>
      </c>
      <c r="F34" s="12"/>
      <c r="H34" t="str">
        <f>E4</f>
        <v>60 km/h</v>
      </c>
      <c r="I34">
        <f>MATCH(H34,'Trauma Index'!C2:H2,0)</f>
        <v>6</v>
      </c>
      <c r="AC34" s="29" t="s">
        <v>372</v>
      </c>
      <c r="AD34" s="17">
        <v>1.5</v>
      </c>
    </row>
    <row r="35" spans="1:30" ht="30" x14ac:dyDescent="0.25">
      <c r="A35" s="154"/>
      <c r="B35" s="13" t="s">
        <v>127</v>
      </c>
      <c r="C35" s="14" t="s">
        <v>128</v>
      </c>
      <c r="D35" s="12" t="s">
        <v>129</v>
      </c>
      <c r="E35" s="37" cm="1">
        <f t="array" ref="E35">INDEX('Trauma Index'!C3:H108,'3.1 60 U'!I35,'3.1 60 U'!I34)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Index'!C3:H108,'3.1 60 U'!I36,'3.1 60 U'!I33)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Index'!C3:H108,'3.1 60 U'!I36,'3.1 60 U'!I34)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E27*E33*E38*0.4</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5D83-1B87-4034-ABDD-3F70EF8AFB47}">
  <dimension ref="A1:AD50"/>
  <sheetViews>
    <sheetView topLeftCell="C3"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157</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1.5</v>
      </c>
      <c r="L22" s="21" t="s">
        <v>0</v>
      </c>
      <c r="M22" s="21">
        <v>1</v>
      </c>
      <c r="N22" s="21" t="s">
        <v>362</v>
      </c>
      <c r="O22" s="21">
        <v>1</v>
      </c>
    </row>
    <row r="23" spans="1:30" x14ac:dyDescent="0.25">
      <c r="A23" s="155"/>
      <c r="B23" s="13" t="s">
        <v>90</v>
      </c>
      <c r="C23" s="14" t="s">
        <v>91</v>
      </c>
      <c r="D23" s="12" t="s">
        <v>92</v>
      </c>
      <c r="E23" s="15">
        <f>VLOOKUP($E$7,lanefactUsixty,2)</f>
        <v>1</v>
      </c>
      <c r="F23" s="12"/>
      <c r="H23" s="21" t="s">
        <v>158</v>
      </c>
      <c r="I23" s="21">
        <v>0.76</v>
      </c>
      <c r="J23" s="32">
        <v>3</v>
      </c>
      <c r="K23">
        <v>1.3</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1.05</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0.4</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INDEX(Likelihood!C4:N29,'3.2 70 U'!I16,'3.2 70 U'!I15)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INDEX(Likelihood!C4:N29,'3.2 70 U'!I18,'3.2 70 U'!I17)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(0.592*0.4*F33)/100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Index'!C3:H108,'3.2 70 U'!I35,'3.2 70 U'!I33)</f>
        <v>0</v>
      </c>
      <c r="F34" s="12"/>
      <c r="H34" t="str">
        <f>E4</f>
        <v>70 km/h</v>
      </c>
      <c r="I34">
        <f>MATCH(H34,'Trauma Index'!C2:H2,0)</f>
        <v>5</v>
      </c>
      <c r="AC34" s="29" t="s">
        <v>372</v>
      </c>
      <c r="AD34" s="17">
        <v>1.5</v>
      </c>
    </row>
    <row r="35" spans="1:30" ht="30" x14ac:dyDescent="0.25">
      <c r="A35" s="154"/>
      <c r="B35" s="13" t="s">
        <v>127</v>
      </c>
      <c r="C35" s="14" t="s">
        <v>128</v>
      </c>
      <c r="D35" s="12" t="s">
        <v>129</v>
      </c>
      <c r="E35" s="37" cm="1">
        <f t="array" ref="E35">INDEX('Trauma Index'!C3:H108,'3.2 70 U'!I35,'3.2 70 U'!I34)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Index'!C3:H108,'3.2 70 U'!I36,'3.2 70 U'!I33)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Index'!C3:H108,'3.2 70 U'!I36,'3.2 70 U'!I34)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E27*E33*E38*0.4</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80A7-2921-491B-8769-8A95AB854BDC}">
  <dimension ref="A1:AD52"/>
  <sheetViews>
    <sheetView topLeftCell="C22"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161</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1.5</v>
      </c>
      <c r="L22" s="21" t="s">
        <v>0</v>
      </c>
      <c r="M22">
        <v>1</v>
      </c>
      <c r="N22" s="21" t="s">
        <v>362</v>
      </c>
      <c r="O22" s="21">
        <v>1</v>
      </c>
    </row>
    <row r="23" spans="1:30" x14ac:dyDescent="0.25">
      <c r="A23" s="155"/>
      <c r="B23" s="13" t="s">
        <v>90</v>
      </c>
      <c r="C23" s="14" t="s">
        <v>91</v>
      </c>
      <c r="D23" s="12" t="s">
        <v>92</v>
      </c>
      <c r="E23" s="15">
        <f>VLOOKUP($E$7,lanefactUsixty,2)</f>
        <v>1</v>
      </c>
      <c r="F23" s="12"/>
      <c r="H23" s="21" t="s">
        <v>158</v>
      </c>
      <c r="I23" s="21">
        <v>0.76</v>
      </c>
      <c r="J23" s="32">
        <v>3</v>
      </c>
      <c r="K23">
        <v>1.3</v>
      </c>
      <c r="L23" s="21" t="s">
        <v>155</v>
      </c>
      <c r="M23">
        <v>2.58</v>
      </c>
      <c r="N23" s="22" t="s">
        <v>363</v>
      </c>
      <c r="O23" s="21">
        <v>1.5</v>
      </c>
    </row>
    <row r="24" spans="1:30" x14ac:dyDescent="0.25">
      <c r="A24" s="155"/>
      <c r="B24" s="13" t="s">
        <v>93</v>
      </c>
      <c r="C24" s="14" t="s">
        <v>94</v>
      </c>
      <c r="D24" s="12" t="s">
        <v>92</v>
      </c>
      <c r="E24" s="15">
        <f>IF($E$2="Flat",1,IF($E$2="Rolling",2.58,IF($E$2="Mountainous",2.27)))</f>
        <v>1</v>
      </c>
      <c r="F24" s="12"/>
      <c r="J24" s="21">
        <v>3.3</v>
      </c>
      <c r="K24">
        <v>1.05</v>
      </c>
      <c r="L24" s="21" t="s">
        <v>160</v>
      </c>
      <c r="M24">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INDEX(Likelihood!C33:N58,'3.3 80 U'!I16,'3.3 80 U'!I15)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INDEX(Likelihood!C33:N58,'3.3 80 U'!I18,'3.3 80 U'!I17)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Index'!C3:H108,'3.3 80 U'!I35,'3.3 80 U'!I33)</f>
        <v>0</v>
      </c>
      <c r="F34" s="12"/>
      <c r="H34" t="str">
        <f>E4</f>
        <v>80 km/h</v>
      </c>
      <c r="I34">
        <f>MATCH(H34,'Trauma Index'!C2:H2,0)</f>
        <v>4</v>
      </c>
      <c r="AC34" s="42" t="s">
        <v>370</v>
      </c>
      <c r="AD34" s="43">
        <v>1</v>
      </c>
    </row>
    <row r="35" spans="1:30" ht="30" x14ac:dyDescent="0.25">
      <c r="A35" s="154"/>
      <c r="B35" s="13" t="s">
        <v>127</v>
      </c>
      <c r="C35" s="14" t="s">
        <v>128</v>
      </c>
      <c r="D35" s="12" t="s">
        <v>129</v>
      </c>
      <c r="E35" s="37" cm="1">
        <f t="array" ref="E35">INDEX('Trauma Index'!C3:H108,'3.3 80 U'!I35,'3.3 80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Index'!C3:H108,'3.3 80 U'!I36,'3.3 80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Index'!C3:H108,'3.3 80 U'!I36,'3.3 80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048E4-5139-4988-A5AA-8F062F479AE0}">
  <dimension ref="A1:AD52"/>
  <sheetViews>
    <sheetView topLeftCell="C16"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162</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1.5</v>
      </c>
      <c r="L22" s="21" t="s">
        <v>0</v>
      </c>
      <c r="M22">
        <v>1</v>
      </c>
      <c r="N22" s="21" t="s">
        <v>362</v>
      </c>
      <c r="O22" s="21">
        <v>1</v>
      </c>
    </row>
    <row r="23" spans="1:30" x14ac:dyDescent="0.25">
      <c r="A23" s="155"/>
      <c r="B23" s="13" t="s">
        <v>90</v>
      </c>
      <c r="C23" s="14" t="s">
        <v>91</v>
      </c>
      <c r="D23" s="12" t="s">
        <v>92</v>
      </c>
      <c r="E23" s="15">
        <f>VLOOKUP($E$7,lanefactUsixty,2)</f>
        <v>1</v>
      </c>
      <c r="F23" s="12"/>
      <c r="H23" s="21" t="s">
        <v>158</v>
      </c>
      <c r="I23" s="21">
        <v>0.76</v>
      </c>
      <c r="J23" s="32">
        <v>3</v>
      </c>
      <c r="K23">
        <v>1.3</v>
      </c>
      <c r="L23" s="21" t="s">
        <v>155</v>
      </c>
      <c r="M23">
        <v>2.58</v>
      </c>
      <c r="N23" s="22" t="s">
        <v>363</v>
      </c>
      <c r="O23" s="21">
        <v>1.5</v>
      </c>
    </row>
    <row r="24" spans="1:30" x14ac:dyDescent="0.25">
      <c r="A24" s="155"/>
      <c r="B24" s="13" t="s">
        <v>93</v>
      </c>
      <c r="C24" s="14" t="s">
        <v>94</v>
      </c>
      <c r="D24" s="12" t="s">
        <v>92</v>
      </c>
      <c r="E24" s="15">
        <f>IF($E$2="Flat",1,IF($E$2="Rolling",2.58,IF($E$2="Mountainous",2.27)))</f>
        <v>1</v>
      </c>
      <c r="F24" s="12"/>
      <c r="J24" s="21">
        <v>3.3</v>
      </c>
      <c r="K24">
        <v>1.05</v>
      </c>
      <c r="L24" s="21" t="s">
        <v>160</v>
      </c>
      <c r="M24">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INDEX(Likelihood!C33:N58,'3.4 90 U'!I16,'3.4 90 U'!I15)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INDEX(Likelihood!C33:N58,'3.4 90 U'!I18,'3.4 90 U'!I17)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Index'!C3:H108,'3.4 90 U'!I35,'3.4 90 U'!I33)</f>
        <v>0</v>
      </c>
      <c r="F34" s="12"/>
      <c r="H34" t="str">
        <f>E4</f>
        <v>90 km/h</v>
      </c>
      <c r="I34">
        <f>MATCH(H34,'Trauma Index'!C2:H2,0)</f>
        <v>3</v>
      </c>
      <c r="AC34" s="42" t="s">
        <v>370</v>
      </c>
      <c r="AD34" s="43">
        <v>1</v>
      </c>
    </row>
    <row r="35" spans="1:30" ht="30" x14ac:dyDescent="0.25">
      <c r="A35" s="154"/>
      <c r="B35" s="13" t="s">
        <v>127</v>
      </c>
      <c r="C35" s="14" t="s">
        <v>128</v>
      </c>
      <c r="D35" s="12" t="s">
        <v>129</v>
      </c>
      <c r="E35" s="37" cm="1">
        <f t="array" ref="E35">INDEX('Trauma Index'!C3:H108,'3.4 90 U'!I35,'3.4 90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Index'!C3:H108,'3.4 90 U'!I36,'3.4 90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Index'!C3:H108,'3.4 90 U'!I36,'3.4 90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1A70-25F7-4F82-B2FF-70058142D350}">
  <dimension ref="A1:AD52"/>
  <sheetViews>
    <sheetView topLeftCell="A19"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163</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1.5</v>
      </c>
      <c r="L22" s="21" t="s">
        <v>0</v>
      </c>
      <c r="M22" s="21">
        <v>1</v>
      </c>
      <c r="N22" s="21" t="s">
        <v>362</v>
      </c>
      <c r="O22" s="21">
        <v>1</v>
      </c>
    </row>
    <row r="23" spans="1:30" x14ac:dyDescent="0.25">
      <c r="A23" s="155"/>
      <c r="B23" s="13" t="s">
        <v>90</v>
      </c>
      <c r="C23" s="14" t="s">
        <v>91</v>
      </c>
      <c r="D23" s="12" t="s">
        <v>92</v>
      </c>
      <c r="E23" s="15">
        <f>VLOOKUP($E$7,lanefactUsixty,2)</f>
        <v>1</v>
      </c>
      <c r="F23" s="12"/>
      <c r="H23" s="21" t="s">
        <v>158</v>
      </c>
      <c r="I23" s="21">
        <v>0.76</v>
      </c>
      <c r="J23" s="32">
        <v>3</v>
      </c>
      <c r="K23">
        <v>1.3</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1.05</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INDEX(Likelihood!C62:N87,'3.5 100 U'!I16,'3.5 100 U'!I15)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INDEX(Likelihood!C62:N87,'3.5 100 U'!I18,'3.5 100 U'!I17)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Index'!C3:H108,'3.5 100 U'!I35,'3.5 100 U'!I33)</f>
        <v>0</v>
      </c>
      <c r="F34" s="12"/>
      <c r="H34" t="str">
        <f>E4</f>
        <v>100 km/h</v>
      </c>
      <c r="I34">
        <f>MATCH(H34,'Trauma Index'!C2:H2,0)</f>
        <v>2</v>
      </c>
      <c r="AC34" s="42" t="s">
        <v>370</v>
      </c>
      <c r="AD34" s="43">
        <v>1</v>
      </c>
    </row>
    <row r="35" spans="1:30" ht="30" x14ac:dyDescent="0.25">
      <c r="A35" s="154"/>
      <c r="B35" s="13" t="s">
        <v>127</v>
      </c>
      <c r="C35" s="14" t="s">
        <v>128</v>
      </c>
      <c r="D35" s="12" t="s">
        <v>129</v>
      </c>
      <c r="E35" s="37" cm="1">
        <f t="array" ref="E35">INDEX('Trauma Index'!C3:H108,'3.5 100 U'!I35,'3.5 100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Index'!C3:H108,'3.5 100 U'!I36,'3.5 100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Index'!C3:H108,'3.5 100 U'!I36,'3.5 100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6BEE-8447-45D9-92E5-68A179080CBE}">
  <dimension ref="A1:AD52"/>
  <sheetViews>
    <sheetView topLeftCell="A22"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164</v>
      </c>
      <c r="F4" s="12"/>
    </row>
    <row r="5" spans="1:9" x14ac:dyDescent="0.25">
      <c r="A5" s="154"/>
      <c r="B5" s="13" t="s">
        <v>51</v>
      </c>
      <c r="C5" s="14" t="s">
        <v>52</v>
      </c>
      <c r="D5" s="12" t="s">
        <v>46</v>
      </c>
      <c r="E5" s="30" t="s">
        <v>153</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VLOOKUP(E8,UnExp,2,FALSE)</f>
        <v>0.4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IF($E$6="≥2",0.76,1)</f>
        <v>1</v>
      </c>
      <c r="F22" s="12"/>
      <c r="H22" s="21">
        <v>1</v>
      </c>
      <c r="I22" s="21">
        <v>1</v>
      </c>
      <c r="J22" s="21">
        <v>2.7</v>
      </c>
      <c r="K22">
        <v>1.5</v>
      </c>
      <c r="L22" s="21" t="s">
        <v>0</v>
      </c>
      <c r="M22" s="21">
        <v>1</v>
      </c>
      <c r="N22" s="21" t="s">
        <v>362</v>
      </c>
      <c r="O22" s="21">
        <v>1</v>
      </c>
    </row>
    <row r="23" spans="1:30" x14ac:dyDescent="0.25">
      <c r="A23" s="155"/>
      <c r="B23" s="13" t="s">
        <v>90</v>
      </c>
      <c r="C23" s="14" t="s">
        <v>91</v>
      </c>
      <c r="D23" s="12" t="s">
        <v>92</v>
      </c>
      <c r="E23" s="15">
        <f>VLOOKUP($E$7,lanefactUsixty,2)</f>
        <v>1</v>
      </c>
      <c r="F23" s="12"/>
      <c r="H23" s="21" t="s">
        <v>158</v>
      </c>
      <c r="I23" s="21">
        <v>0.76</v>
      </c>
      <c r="J23" s="32">
        <v>3</v>
      </c>
      <c r="K23">
        <v>1.3</v>
      </c>
      <c r="L23" s="21" t="s">
        <v>155</v>
      </c>
      <c r="M23" s="21">
        <v>2.58</v>
      </c>
      <c r="N23" s="22" t="s">
        <v>363</v>
      </c>
      <c r="O23" s="21">
        <v>1.5</v>
      </c>
    </row>
    <row r="24" spans="1:30" x14ac:dyDescent="0.25">
      <c r="A24" s="155"/>
      <c r="B24" s="13" t="s">
        <v>93</v>
      </c>
      <c r="C24" s="14" t="s">
        <v>94</v>
      </c>
      <c r="D24" s="12" t="s">
        <v>92</v>
      </c>
      <c r="E24" s="15">
        <f>IF($E$2="Flat",1,IF($E$2="Rolling",2.58,IF($E$2="Mountainous",2.27)))</f>
        <v>1</v>
      </c>
      <c r="F24" s="12"/>
      <c r="J24" s="21">
        <v>3.3</v>
      </c>
      <c r="K24">
        <v>1.05</v>
      </c>
      <c r="L24" s="21" t="s">
        <v>160</v>
      </c>
      <c r="M24" s="21">
        <v>2.27</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INDEX(Likelihood!C62:N87,'3.6 110 U'!I16,'3.6 110 U'!I15)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INDEX(Likelihood!C62:N87,'3.6 110 U'!I18,'3.6 110 U'!I17)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Index'!C3:H108,'3.6 110 U'!I35,'3.6 110 U'!I33)</f>
        <v>0</v>
      </c>
      <c r="F34" s="12"/>
      <c r="H34" t="str">
        <f>E4</f>
        <v>110 km/h</v>
      </c>
      <c r="I34">
        <f>MATCH(H34,'Trauma Index'!C2:H2,0)</f>
        <v>1</v>
      </c>
      <c r="AC34" s="42" t="s">
        <v>370</v>
      </c>
      <c r="AD34" s="43">
        <v>1</v>
      </c>
    </row>
    <row r="35" spans="1:30" ht="30" x14ac:dyDescent="0.25">
      <c r="A35" s="154"/>
      <c r="B35" s="13" t="s">
        <v>127</v>
      </c>
      <c r="C35" s="14" t="s">
        <v>128</v>
      </c>
      <c r="D35" s="12" t="s">
        <v>129</v>
      </c>
      <c r="E35" s="37" cm="1">
        <f t="array" ref="E35">INDEX('Trauma Index'!C3:H108,'3.6 110 U'!I35,'3.6 110 U'!I34)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Index'!C3:H108,'3.6 110 U'!I36,'3.6 110 U'!I33)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Index'!C3:H108,'3.6 110 U'!I36,'3.6 110 U'!I34)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9701-69B4-4669-816A-38E362DE8911}">
  <dimension ref="A1:AD50"/>
  <sheetViews>
    <sheetView topLeftCell="E18"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3</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INDEX(Likelihood!C4:N29,'4.1 60 D'!I16,'4.1 60 D'!I15)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INDEX(Likelihood!C4:N29,'4.1 60 D'!I18,'4.1 60 D'!I17)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(0.592*1*F33)/100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Index'!C3:H108,'4.1 60 D'!I35,'4.1 60 D'!I33)</f>
        <v>0</v>
      </c>
      <c r="F34" s="12"/>
      <c r="H34" t="str">
        <f>E4</f>
        <v>60 km/h</v>
      </c>
      <c r="I34">
        <f>MATCH(H34,'Trauma Index'!C2:H2,0)</f>
        <v>6</v>
      </c>
      <c r="AC34" s="29" t="s">
        <v>372</v>
      </c>
      <c r="AD34" s="17">
        <v>1.5</v>
      </c>
    </row>
    <row r="35" spans="1:30" ht="30" x14ac:dyDescent="0.25">
      <c r="A35" s="154"/>
      <c r="B35" s="13" t="s">
        <v>127</v>
      </c>
      <c r="C35" s="14" t="s">
        <v>128</v>
      </c>
      <c r="D35" s="12" t="s">
        <v>129</v>
      </c>
      <c r="E35" s="37" cm="1">
        <f t="array" ref="E35">INDEX('Trauma Index'!C3:H108,'4.1 60 D'!I35,'4.1 60 D'!I34)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Index'!C3:H108,'4.1 60 D'!I36,'4.1 60 D'!I33)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Index'!C3:H108,'4.1 60 D'!I36,'4.1 60 D'!I34)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71DC-AEFF-4EA0-B99F-B947291EB7ED}">
  <dimension ref="A1:AD50"/>
  <sheetViews>
    <sheetView topLeftCell="A20"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157</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MATCH(H15,Likelihood!C3:N3,0)</f>
        <v>1</v>
      </c>
    </row>
    <row r="16" spans="1:9" ht="30" x14ac:dyDescent="0.25">
      <c r="A16" s="154"/>
      <c r="B16" s="13" t="s">
        <v>72</v>
      </c>
      <c r="C16" s="14" t="s">
        <v>73</v>
      </c>
      <c r="D16" s="12" t="s">
        <v>46</v>
      </c>
      <c r="E16" s="15" t="str">
        <f>'Risk Score Calculator'!C18</f>
        <v>3.0m</v>
      </c>
      <c r="F16" s="12"/>
      <c r="H16" t="str">
        <f>E16</f>
        <v>3.0m</v>
      </c>
      <c r="I16">
        <f>MATCH(H16,Likelihood!B4:B29,0)</f>
        <v>6</v>
      </c>
    </row>
    <row r="17" spans="1:30" x14ac:dyDescent="0.25">
      <c r="A17" s="154" t="s">
        <v>74</v>
      </c>
      <c r="B17" s="13" t="s">
        <v>70</v>
      </c>
      <c r="C17" s="14" t="s">
        <v>75</v>
      </c>
      <c r="D17" s="12" t="s">
        <v>46</v>
      </c>
      <c r="E17" s="15" t="str">
        <f>'Risk Score Calculator'!C20</f>
        <v>None</v>
      </c>
      <c r="F17" s="12"/>
      <c r="H17" t="str">
        <f>E13</f>
        <v>Straight</v>
      </c>
      <c r="I17">
        <f>MATCH(H17,Likelihood!C3:N3,0)</f>
        <v>1</v>
      </c>
    </row>
    <row r="18" spans="1:30" x14ac:dyDescent="0.25">
      <c r="A18" s="154"/>
      <c r="B18" s="13" t="s">
        <v>76</v>
      </c>
      <c r="C18" s="14" t="s">
        <v>77</v>
      </c>
      <c r="D18" s="12" t="s">
        <v>46</v>
      </c>
      <c r="E18" s="15">
        <f>'Risk Score Calculator'!C21</f>
        <v>1</v>
      </c>
      <c r="F18" s="12"/>
      <c r="H18" t="str">
        <f>E20</f>
        <v>13.0m</v>
      </c>
      <c r="I18">
        <f>MATCH(H18,Likelihood!B4:B29,0)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450</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t="s">
        <v>0</v>
      </c>
      <c r="O23">
        <v>1</v>
      </c>
    </row>
    <row r="24" spans="1:30" x14ac:dyDescent="0.25">
      <c r="A24" s="155"/>
      <c r="B24" s="13" t="s">
        <v>93</v>
      </c>
      <c r="C24" s="14" t="s">
        <v>94</v>
      </c>
      <c r="D24" s="12" t="s">
        <v>92</v>
      </c>
      <c r="E24" s="15">
        <f>IF($E$2="Flat",1,IF($E$2="Rolling",1.66,IF($E$2="Mountainous",1.51)))</f>
        <v>1</v>
      </c>
      <c r="F24" s="12"/>
      <c r="J24" s="21">
        <v>3.3</v>
      </c>
      <c r="K24">
        <v>1.03</v>
      </c>
      <c r="L24" s="21" t="s">
        <v>160</v>
      </c>
      <c r="M24">
        <v>1.51</v>
      </c>
      <c r="N24" t="s">
        <v>451</v>
      </c>
      <c r="O24">
        <v>1</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2" t="s">
        <v>363</v>
      </c>
      <c r="O25" s="21">
        <v>1.5</v>
      </c>
    </row>
    <row r="26" spans="1:30" ht="15.75" thickBot="1" x14ac:dyDescent="0.3">
      <c r="A26" s="155"/>
      <c r="B26" s="13" t="s">
        <v>98</v>
      </c>
      <c r="C26" s="14" t="s">
        <v>99</v>
      </c>
      <c r="D26" s="12" t="s">
        <v>100</v>
      </c>
      <c r="E26" s="15">
        <f>VLOOKUP(L27,CurveFact,2,FALSE)</f>
        <v>1</v>
      </c>
      <c r="F26" s="12"/>
      <c r="N26" s="21" t="s">
        <v>364</v>
      </c>
      <c r="O26" s="21">
        <v>2</v>
      </c>
    </row>
    <row r="27" spans="1:30" x14ac:dyDescent="0.25">
      <c r="A27" s="155"/>
      <c r="B27" s="13" t="s">
        <v>101</v>
      </c>
      <c r="C27" s="14" t="s">
        <v>102</v>
      </c>
      <c r="D27" s="12" t="s">
        <v>103</v>
      </c>
      <c r="E27" s="37">
        <f>PRODUCT(E21:E26)</f>
        <v>0.24</v>
      </c>
      <c r="F27" s="12"/>
      <c r="K27" s="21" t="s">
        <v>389</v>
      </c>
      <c r="L27" s="21" t="str">
        <f>CONCATENATE(F13,E13)</f>
        <v>OutsideStraight</v>
      </c>
      <c r="AC27" s="33" t="s">
        <v>365</v>
      </c>
      <c r="AD27" s="34">
        <v>1</v>
      </c>
    </row>
    <row r="28" spans="1:30" ht="30" x14ac:dyDescent="0.25">
      <c r="A28" s="155" t="s">
        <v>104</v>
      </c>
      <c r="B28" s="13" t="s">
        <v>105</v>
      </c>
      <c r="C28" s="14" t="s">
        <v>106</v>
      </c>
      <c r="D28" s="12" t="s">
        <v>107</v>
      </c>
      <c r="E28" s="37" cm="1">
        <f t="array" ref="E28">INDEX(Likelihood!C4:N29,'4.2 70 D'!I16,'4.2 70 D'!I15)</f>
        <v>0.28999999999999998</v>
      </c>
      <c r="F28" s="12"/>
      <c r="AC28" s="29" t="s">
        <v>366</v>
      </c>
      <c r="AD28" s="17">
        <v>1</v>
      </c>
    </row>
    <row r="29" spans="1:30" ht="45" x14ac:dyDescent="0.25">
      <c r="A29" s="155"/>
      <c r="B29" s="13" t="s">
        <v>108</v>
      </c>
      <c r="C29" s="14" t="s">
        <v>109</v>
      </c>
      <c r="D29" s="12" t="s">
        <v>110</v>
      </c>
      <c r="E29" s="37">
        <f>1-((E18+18)/MIN(E19,E9))</f>
        <v>0.96199999999999997</v>
      </c>
      <c r="F29" s="12"/>
      <c r="AC29" s="29" t="s">
        <v>367</v>
      </c>
      <c r="AD29" s="17">
        <v>1</v>
      </c>
    </row>
    <row r="30" spans="1:30" x14ac:dyDescent="0.25">
      <c r="A30" s="155"/>
      <c r="B30" s="13" t="s">
        <v>111</v>
      </c>
      <c r="C30" s="14" t="s">
        <v>112</v>
      </c>
      <c r="D30" s="12" t="s">
        <v>113</v>
      </c>
      <c r="E30" s="37">
        <f>IF($E$18=1,E28,(E29*E28))</f>
        <v>0.28999999999999998</v>
      </c>
      <c r="F30" s="12"/>
      <c r="AC30" s="29" t="s">
        <v>368</v>
      </c>
      <c r="AD30" s="17">
        <v>1</v>
      </c>
    </row>
    <row r="31" spans="1:30" ht="30" x14ac:dyDescent="0.25">
      <c r="A31" s="155"/>
      <c r="B31" s="13" t="s">
        <v>114</v>
      </c>
      <c r="C31" s="14" t="s">
        <v>115</v>
      </c>
      <c r="D31" s="12" t="s">
        <v>107</v>
      </c>
      <c r="E31" s="37" cm="1">
        <f t="array" ref="E31">INDEX(Likelihood!C4:N29,'4.2 70 D'!I18,'4.2 70 D'!I17)</f>
        <v>5.0000000000000001E-3</v>
      </c>
      <c r="F31" s="12"/>
      <c r="AC31" s="29" t="s">
        <v>369</v>
      </c>
      <c r="AD31" s="17">
        <v>1</v>
      </c>
    </row>
    <row r="32" spans="1:30" x14ac:dyDescent="0.25">
      <c r="A32" s="155"/>
      <c r="B32" s="13" t="s">
        <v>116</v>
      </c>
      <c r="C32" s="14" t="s">
        <v>117</v>
      </c>
      <c r="D32" s="12" t="s">
        <v>118</v>
      </c>
      <c r="E32" s="37">
        <f>E31*((E18+18)/MIN(E19,E9))</f>
        <v>1.9000000000000001E-4</v>
      </c>
      <c r="F32" s="12" t="s">
        <v>119</v>
      </c>
      <c r="AC32" s="29" t="s">
        <v>370</v>
      </c>
      <c r="AD32" s="17">
        <v>1</v>
      </c>
    </row>
    <row r="33" spans="1:30" x14ac:dyDescent="0.25">
      <c r="A33" s="155"/>
      <c r="B33" s="13" t="s">
        <v>120</v>
      </c>
      <c r="C33" s="14" t="s">
        <v>121</v>
      </c>
      <c r="D33" s="12" t="s">
        <v>122</v>
      </c>
      <c r="E33" s="37">
        <f>(0.592*1*F33)/100</f>
        <v>0</v>
      </c>
      <c r="F33" s="17">
        <f>'Risk Score Calculator'!C25</f>
        <v>0</v>
      </c>
      <c r="H33" s="26" t="s">
        <v>164</v>
      </c>
      <c r="I33">
        <f>MATCH(H33,'Trauma Index'!C2:H2,0)</f>
        <v>1</v>
      </c>
      <c r="AC33" s="29" t="s">
        <v>371</v>
      </c>
      <c r="AD33" s="17">
        <v>1.3</v>
      </c>
    </row>
    <row r="34" spans="1:30" ht="30" x14ac:dyDescent="0.25">
      <c r="A34" s="154" t="s">
        <v>123</v>
      </c>
      <c r="B34" s="13" t="s">
        <v>124</v>
      </c>
      <c r="C34" s="14" t="s">
        <v>125</v>
      </c>
      <c r="D34" s="12" t="s">
        <v>126</v>
      </c>
      <c r="E34" s="37" cm="1">
        <f t="array" ref="E34">INDEX('Trauma Index'!C3:H108,'4.2 70 D'!I35,'4.2 70 D'!I33)</f>
        <v>0</v>
      </c>
      <c r="F34" s="12"/>
      <c r="H34" t="str">
        <f>E4</f>
        <v>70 km/h</v>
      </c>
      <c r="I34">
        <f>MATCH(H34,'Trauma Index'!C2:H2,0)</f>
        <v>5</v>
      </c>
      <c r="AC34" s="29" t="s">
        <v>372</v>
      </c>
      <c r="AD34" s="17">
        <v>1.5</v>
      </c>
    </row>
    <row r="35" spans="1:30" ht="30" x14ac:dyDescent="0.25">
      <c r="A35" s="154"/>
      <c r="B35" s="13" t="s">
        <v>127</v>
      </c>
      <c r="C35" s="14" t="s">
        <v>128</v>
      </c>
      <c r="D35" s="12" t="s">
        <v>129</v>
      </c>
      <c r="E35" s="37" cm="1">
        <f t="array" ref="E35">INDEX('Trauma Index'!C3:H108,'4.2 70 D'!I35,'4.2 70 D'!I34)</f>
        <v>0</v>
      </c>
      <c r="F35" s="12"/>
      <c r="H35" t="str">
        <f>E15</f>
        <v>None</v>
      </c>
      <c r="I35">
        <f>MATCH(H35,'Trauma Index'!B3:B108,0)</f>
        <v>1</v>
      </c>
      <c r="AC35" s="29" t="s">
        <v>373</v>
      </c>
      <c r="AD35" s="17">
        <v>1.7</v>
      </c>
    </row>
    <row r="36" spans="1:30" ht="30" x14ac:dyDescent="0.25">
      <c r="A36" s="154"/>
      <c r="B36" s="13" t="s">
        <v>130</v>
      </c>
      <c r="C36" s="14" t="s">
        <v>131</v>
      </c>
      <c r="D36" s="12" t="s">
        <v>132</v>
      </c>
      <c r="E36" s="37" cm="1">
        <f t="array" ref="E36">INDEX('Trauma Index'!C3:H108,'4.2 70 D'!I36,'4.2 70 D'!I33)</f>
        <v>0</v>
      </c>
      <c r="F36" s="12"/>
      <c r="H36" t="str">
        <f>E17</f>
        <v>None</v>
      </c>
      <c r="I36">
        <f>MATCH(H36,'Trauma Index'!B3:B108,0)</f>
        <v>1</v>
      </c>
      <c r="AC36" s="29" t="s">
        <v>374</v>
      </c>
      <c r="AD36" s="17">
        <v>2</v>
      </c>
    </row>
    <row r="37" spans="1:30" ht="30" x14ac:dyDescent="0.25">
      <c r="A37" s="154"/>
      <c r="B37" s="13" t="s">
        <v>133</v>
      </c>
      <c r="C37" s="14" t="s">
        <v>134</v>
      </c>
      <c r="D37" s="12" t="s">
        <v>129</v>
      </c>
      <c r="E37" s="37" cm="1">
        <f t="array" ref="E37">INDEX('Trauma Index'!C3:H108,'4.2 70 D'!I36,'4.2 70 D'!I34)</f>
        <v>0</v>
      </c>
      <c r="F37" s="12"/>
      <c r="AC37" s="29" t="s">
        <v>375</v>
      </c>
      <c r="AD37" s="17">
        <v>2</v>
      </c>
    </row>
    <row r="38" spans="1:30" x14ac:dyDescent="0.25">
      <c r="A38" s="154"/>
      <c r="B38" s="13" t="s">
        <v>135</v>
      </c>
      <c r="C38" s="14" t="s">
        <v>136</v>
      </c>
      <c r="D38" s="12">
        <v>0.63</v>
      </c>
      <c r="E38" s="37">
        <v>0.63</v>
      </c>
      <c r="F38" s="12"/>
      <c r="AC38" s="29" t="s">
        <v>376</v>
      </c>
      <c r="AD38" s="17">
        <v>2</v>
      </c>
    </row>
    <row r="39" spans="1:30" ht="45" x14ac:dyDescent="0.25">
      <c r="A39" s="155" t="s">
        <v>137</v>
      </c>
      <c r="B39" s="13" t="s">
        <v>138</v>
      </c>
      <c r="C39" s="14" t="s">
        <v>139</v>
      </c>
      <c r="D39" s="12" t="s">
        <v>140</v>
      </c>
      <c r="E39" s="37">
        <f>E27*E30*E35</f>
        <v>0</v>
      </c>
      <c r="F39" s="12"/>
      <c r="AC39" s="29" t="s">
        <v>377</v>
      </c>
      <c r="AD39" s="17">
        <v>1</v>
      </c>
    </row>
    <row r="40" spans="1:30" ht="45" x14ac:dyDescent="0.25">
      <c r="A40" s="155"/>
      <c r="B40" s="13" t="s">
        <v>141</v>
      </c>
      <c r="C40" s="14" t="s">
        <v>142</v>
      </c>
      <c r="D40" s="12" t="s">
        <v>143</v>
      </c>
      <c r="E40" s="37">
        <f>E27*E32*E37</f>
        <v>0</v>
      </c>
      <c r="F40" s="12"/>
      <c r="AC40" s="29" t="s">
        <v>378</v>
      </c>
      <c r="AD40" s="17">
        <v>1</v>
      </c>
    </row>
    <row r="41" spans="1:30" ht="30.75" thickBot="1" x14ac:dyDescent="0.3">
      <c r="A41" s="155"/>
      <c r="B41" s="13" t="s">
        <v>144</v>
      </c>
      <c r="C41" s="14" t="s">
        <v>145</v>
      </c>
      <c r="D41" s="12" t="s">
        <v>146</v>
      </c>
      <c r="E41" s="38">
        <f>E27*E33*E38</f>
        <v>0</v>
      </c>
      <c r="F41" s="12"/>
      <c r="AC41" s="29" t="s">
        <v>379</v>
      </c>
      <c r="AD41" s="17">
        <v>1</v>
      </c>
    </row>
    <row r="42" spans="1:30" ht="15.75" thickBot="1" x14ac:dyDescent="0.3">
      <c r="A42" s="156"/>
      <c r="B42" s="18" t="s">
        <v>147</v>
      </c>
      <c r="C42" s="19" t="s">
        <v>148</v>
      </c>
      <c r="D42" s="20" t="s">
        <v>149</v>
      </c>
      <c r="E42" s="39">
        <f>E39+E40+E41</f>
        <v>0</v>
      </c>
      <c r="F42" s="20"/>
      <c r="AC42" s="29" t="s">
        <v>380</v>
      </c>
      <c r="AD42" s="17">
        <v>1</v>
      </c>
    </row>
    <row r="43" spans="1:30" x14ac:dyDescent="0.25">
      <c r="AC43" s="29" t="s">
        <v>381</v>
      </c>
      <c r="AD43" s="17">
        <v>1</v>
      </c>
    </row>
    <row r="44" spans="1:30" x14ac:dyDescent="0.25">
      <c r="AC44" s="29" t="s">
        <v>382</v>
      </c>
      <c r="AD44" s="17">
        <v>1</v>
      </c>
    </row>
    <row r="45" spans="1:30" x14ac:dyDescent="0.25">
      <c r="AC45" s="29" t="s">
        <v>383</v>
      </c>
      <c r="AD45" s="17">
        <v>2</v>
      </c>
    </row>
    <row r="46" spans="1:30" x14ac:dyDescent="0.25">
      <c r="AC46" s="29" t="s">
        <v>384</v>
      </c>
      <c r="AD46" s="17">
        <v>2.5</v>
      </c>
    </row>
    <row r="47" spans="1:30" x14ac:dyDescent="0.25">
      <c r="AC47" s="29" t="s">
        <v>385</v>
      </c>
      <c r="AD47" s="17">
        <v>3</v>
      </c>
    </row>
    <row r="48" spans="1:30" x14ac:dyDescent="0.25">
      <c r="AC48" s="29" t="s">
        <v>386</v>
      </c>
      <c r="AD48" s="17">
        <v>4</v>
      </c>
    </row>
    <row r="49" spans="29:30" x14ac:dyDescent="0.25">
      <c r="AC49" s="29" t="s">
        <v>387</v>
      </c>
      <c r="AD49" s="17">
        <v>4</v>
      </c>
    </row>
    <row r="50" spans="29:30" ht="15.75" thickBot="1" x14ac:dyDescent="0.3">
      <c r="AC50" s="35" t="s">
        <v>388</v>
      </c>
      <c r="AD50" s="36">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0063-9C63-4EE8-87E5-8D9C366E53FB}">
  <dimension ref="A1:AD52"/>
  <sheetViews>
    <sheetView topLeftCell="C19"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161</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INDEX(Likelihood!C33:N58,'4.3 80 D'!I16,'4.3 80 D'!I15)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INDEX(Likelihood!C33:N58,'4.3 80 D'!I18,'4.3 80 D'!I17)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Index'!C3:H108,'4.3 80 D'!I35,'4.3 80 D'!I33)</f>
        <v>0</v>
      </c>
      <c r="F34" s="12"/>
      <c r="H34" t="str">
        <f>E4</f>
        <v>80 km/h</v>
      </c>
      <c r="I34">
        <f>MATCH(H34,'Trauma Index'!C2:H2,0)</f>
        <v>4</v>
      </c>
      <c r="AC34" s="42" t="s">
        <v>370</v>
      </c>
      <c r="AD34" s="43">
        <v>1</v>
      </c>
    </row>
    <row r="35" spans="1:30" ht="30" x14ac:dyDescent="0.25">
      <c r="A35" s="154"/>
      <c r="B35" s="13" t="s">
        <v>127</v>
      </c>
      <c r="C35" s="14" t="s">
        <v>128</v>
      </c>
      <c r="D35" s="12" t="s">
        <v>129</v>
      </c>
      <c r="E35" s="37" cm="1">
        <f t="array" ref="E35">INDEX('Trauma Index'!C3:H108,'4.3 80 D'!I35,'4.3 80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Index'!C3:H108,'4.3 80 D'!I36,'4.3 80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Index'!C3:H108,'4.3 80 D'!I36,'4.3 80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0639-29E6-4524-B575-4577D684ED9B}">
  <dimension ref="A1:AD52"/>
  <sheetViews>
    <sheetView topLeftCell="C19"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162</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MATCH(H15,Likelihood!C32:N32,0)</f>
        <v>1</v>
      </c>
    </row>
    <row r="16" spans="1:9" ht="30" x14ac:dyDescent="0.25">
      <c r="A16" s="154"/>
      <c r="B16" s="13" t="s">
        <v>72</v>
      </c>
      <c r="C16" s="14" t="s">
        <v>73</v>
      </c>
      <c r="D16" s="12" t="s">
        <v>46</v>
      </c>
      <c r="E16" s="15" t="str">
        <f>'Risk Score Calculator'!C18</f>
        <v>3.0m</v>
      </c>
      <c r="F16" s="12"/>
      <c r="H16" t="str">
        <f>E16</f>
        <v>3.0m</v>
      </c>
      <c r="I16">
        <f>MATCH(H16,Likelihood!B33:B58,0)</f>
        <v>6</v>
      </c>
    </row>
    <row r="17" spans="1:30" x14ac:dyDescent="0.25">
      <c r="A17" s="154" t="s">
        <v>74</v>
      </c>
      <c r="B17" s="13" t="s">
        <v>70</v>
      </c>
      <c r="C17" s="14" t="s">
        <v>75</v>
      </c>
      <c r="D17" s="12" t="s">
        <v>46</v>
      </c>
      <c r="E17" s="15" t="str">
        <f>'Risk Score Calculator'!C20</f>
        <v>None</v>
      </c>
      <c r="F17" s="12"/>
      <c r="H17" t="str">
        <f>E13</f>
        <v>Straight</v>
      </c>
      <c r="I17">
        <f>MATCH(H17,Likelihood!C32:N32,0)</f>
        <v>1</v>
      </c>
    </row>
    <row r="18" spans="1:30" x14ac:dyDescent="0.25">
      <c r="A18" s="154"/>
      <c r="B18" s="13" t="s">
        <v>76</v>
      </c>
      <c r="C18" s="14" t="s">
        <v>77</v>
      </c>
      <c r="D18" s="12" t="s">
        <v>46</v>
      </c>
      <c r="E18" s="15">
        <f>'Risk Score Calculator'!C21</f>
        <v>1</v>
      </c>
      <c r="F18" s="12"/>
      <c r="H18" t="str">
        <f>E20</f>
        <v>13.0m</v>
      </c>
      <c r="I18">
        <f>MATCH(H18,Likelihood!B33:B58,0)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INDEX(Likelihood!C33:N58,'4.4 90 D'!I16,'4.4 90 D'!I15)</f>
        <v>0.48</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0.48</v>
      </c>
      <c r="F30" s="12"/>
      <c r="AC30" s="42" t="s">
        <v>366</v>
      </c>
      <c r="AD30" s="43">
        <v>1</v>
      </c>
    </row>
    <row r="31" spans="1:30" ht="30" x14ac:dyDescent="0.25">
      <c r="A31" s="155"/>
      <c r="B31" s="13" t="s">
        <v>114</v>
      </c>
      <c r="C31" s="14" t="s">
        <v>115</v>
      </c>
      <c r="D31" s="12" t="s">
        <v>107</v>
      </c>
      <c r="E31" s="37" cm="1">
        <f t="array" ref="E31">INDEX(Likelihood!C33:N58,'4.4 90 D'!I18,'4.4 90 D'!I17)</f>
        <v>0.04</v>
      </c>
      <c r="F31" s="12"/>
      <c r="AC31" s="42" t="s">
        <v>367</v>
      </c>
      <c r="AD31" s="43">
        <v>1</v>
      </c>
    </row>
    <row r="32" spans="1:30" x14ac:dyDescent="0.25">
      <c r="A32" s="155"/>
      <c r="B32" s="13" t="s">
        <v>116</v>
      </c>
      <c r="C32" s="14" t="s">
        <v>117</v>
      </c>
      <c r="D32" s="12" t="s">
        <v>118</v>
      </c>
      <c r="E32" s="37">
        <f>E31*((E18+18)/MIN(E19,E9))</f>
        <v>1.5200000000000001E-3</v>
      </c>
      <c r="F32" s="12" t="s">
        <v>119</v>
      </c>
      <c r="AC32" s="42" t="s">
        <v>368</v>
      </c>
      <c r="AD32" s="43">
        <v>1</v>
      </c>
    </row>
    <row r="33" spans="1:30" x14ac:dyDescent="0.25">
      <c r="A33" s="155"/>
      <c r="B33" s="13" t="s">
        <v>120</v>
      </c>
      <c r="C33" s="14" t="s">
        <v>121</v>
      </c>
      <c r="D33" s="12" t="s">
        <v>122</v>
      </c>
      <c r="E33" s="37">
        <f>(0.592*0.67*F33)/100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Index'!C3:H108,'4.4 90 D'!I35,'4.4 90 D'!I33)</f>
        <v>0</v>
      </c>
      <c r="F34" s="12"/>
      <c r="H34" t="str">
        <f>E4</f>
        <v>90 km/h</v>
      </c>
      <c r="I34">
        <f>MATCH(H34,'Trauma Index'!C2:H2,0)</f>
        <v>3</v>
      </c>
      <c r="AC34" s="42" t="s">
        <v>370</v>
      </c>
      <c r="AD34" s="43">
        <v>1</v>
      </c>
    </row>
    <row r="35" spans="1:30" ht="30" x14ac:dyDescent="0.25">
      <c r="A35" s="154"/>
      <c r="B35" s="13" t="s">
        <v>127</v>
      </c>
      <c r="C35" s="14" t="s">
        <v>128</v>
      </c>
      <c r="D35" s="12" t="s">
        <v>129</v>
      </c>
      <c r="E35" s="37" cm="1">
        <f t="array" ref="E35">INDEX('Trauma Index'!C3:H108,'4.4 90 D'!I35,'4.4 90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Index'!C3:H108,'4.4 90 D'!I36,'4.4 90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Index'!C3:H108,'4.4 90 D'!I36,'4.4 90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0ABC-7755-4B1C-9BC5-F5EE74E5ADF1}">
  <dimension ref="A1:AD52"/>
  <sheetViews>
    <sheetView topLeftCell="D17"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163</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INDEX(Likelihood!C62:N87,'4.5 100 D'!I16,'4.5 100 D'!I15)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INDEX(Likelihood!C62:N87,'4.5 100 D'!I18,'4.5 100 D'!I17)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Index'!C3:H108,'4.5 100 D'!I35,'4.5 100 D'!I33)</f>
        <v>0</v>
      </c>
      <c r="F34" s="12"/>
      <c r="H34" t="str">
        <f>E4</f>
        <v>100 km/h</v>
      </c>
      <c r="I34">
        <f>MATCH(H34,'Trauma Index'!C2:H2,0)</f>
        <v>2</v>
      </c>
      <c r="AC34" s="42" t="s">
        <v>370</v>
      </c>
      <c r="AD34" s="43">
        <v>1</v>
      </c>
    </row>
    <row r="35" spans="1:30" ht="30" x14ac:dyDescent="0.25">
      <c r="A35" s="154"/>
      <c r="B35" s="13" t="s">
        <v>127</v>
      </c>
      <c r="C35" s="14" t="s">
        <v>128</v>
      </c>
      <c r="D35" s="12" t="s">
        <v>129</v>
      </c>
      <c r="E35" s="37" cm="1">
        <f t="array" ref="E35">INDEX('Trauma Index'!C3:H108,'4.5 100 D'!I35,'4.5 100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Index'!C3:H108,'4.5 100 D'!I36,'4.5 100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Index'!C3:H108,'4.5 100 D'!I36,'4.5 100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7D92-3D2D-46C6-96BE-5EC3C47D03F0}">
  <dimension ref="A1:AD52"/>
  <sheetViews>
    <sheetView topLeftCell="A19" workbookViewId="0">
      <selection activeCell="E38" sqref="E38"/>
    </sheetView>
  </sheetViews>
  <sheetFormatPr defaultRowHeight="15" x14ac:dyDescent="0.25"/>
  <cols>
    <col min="1" max="1" width="15.42578125" customWidth="1"/>
    <col min="2" max="2" width="48.85546875" customWidth="1"/>
    <col min="3" max="3" width="15.140625" customWidth="1"/>
    <col min="4" max="4" width="30.140625" customWidth="1"/>
    <col min="5" max="5" width="34.5703125" customWidth="1"/>
    <col min="6" max="6" width="42.28515625" customWidth="1"/>
    <col min="10" max="10" width="10.28515625" bestFit="1" customWidth="1"/>
    <col min="12" max="12" width="12" bestFit="1" customWidth="1"/>
    <col min="14" max="14" width="39.5703125" bestFit="1" customWidth="1"/>
  </cols>
  <sheetData>
    <row r="1" spans="1:9" ht="15.75" thickBot="1" x14ac:dyDescent="0.3">
      <c r="A1" s="4" t="s">
        <v>39</v>
      </c>
      <c r="B1" s="5" t="s">
        <v>40</v>
      </c>
      <c r="C1" s="5" t="s">
        <v>41</v>
      </c>
      <c r="D1" s="5" t="s">
        <v>42</v>
      </c>
      <c r="E1" s="6"/>
      <c r="F1" s="7"/>
    </row>
    <row r="2" spans="1:9" x14ac:dyDescent="0.25">
      <c r="A2" s="157" t="s">
        <v>43</v>
      </c>
      <c r="B2" s="8" t="s">
        <v>44</v>
      </c>
      <c r="C2" s="9" t="s">
        <v>45</v>
      </c>
      <c r="D2" s="10" t="s">
        <v>46</v>
      </c>
      <c r="E2" s="11" t="str">
        <f>'Risk Score Calculator'!C2</f>
        <v>Flat</v>
      </c>
      <c r="F2" s="12"/>
    </row>
    <row r="3" spans="1:9" x14ac:dyDescent="0.25">
      <c r="A3" s="154"/>
      <c r="B3" s="13" t="s">
        <v>47</v>
      </c>
      <c r="C3" s="14" t="s">
        <v>48</v>
      </c>
      <c r="D3" s="12" t="s">
        <v>46</v>
      </c>
      <c r="E3" s="30" t="s">
        <v>156</v>
      </c>
      <c r="F3" s="12"/>
    </row>
    <row r="4" spans="1:9" ht="30" x14ac:dyDescent="0.25">
      <c r="A4" s="154"/>
      <c r="B4" s="13" t="s">
        <v>49</v>
      </c>
      <c r="C4" s="14" t="s">
        <v>50</v>
      </c>
      <c r="D4" s="12" t="s">
        <v>46</v>
      </c>
      <c r="E4" s="30" t="s">
        <v>164</v>
      </c>
      <c r="F4" s="12"/>
    </row>
    <row r="5" spans="1:9" x14ac:dyDescent="0.25">
      <c r="A5" s="154"/>
      <c r="B5" s="13" t="s">
        <v>51</v>
      </c>
      <c r="C5" s="14" t="s">
        <v>52</v>
      </c>
      <c r="D5" s="12" t="s">
        <v>46</v>
      </c>
      <c r="E5" s="30" t="s">
        <v>5</v>
      </c>
      <c r="F5" s="12"/>
    </row>
    <row r="6" spans="1:9" x14ac:dyDescent="0.25">
      <c r="A6" s="154"/>
      <c r="B6" s="13" t="s">
        <v>53</v>
      </c>
      <c r="C6" s="14" t="s">
        <v>54</v>
      </c>
      <c r="D6" s="12" t="s">
        <v>46</v>
      </c>
      <c r="E6" s="15">
        <f>'Risk Score Calculator'!C6</f>
        <v>1</v>
      </c>
      <c r="F6" s="12"/>
    </row>
    <row r="7" spans="1:9" x14ac:dyDescent="0.25">
      <c r="A7" s="154"/>
      <c r="B7" s="13" t="s">
        <v>55</v>
      </c>
      <c r="C7" s="14" t="s">
        <v>56</v>
      </c>
      <c r="D7" s="12" t="s">
        <v>46</v>
      </c>
      <c r="E7" s="15">
        <f>'Risk Score Calculator'!C7</f>
        <v>3.5</v>
      </c>
      <c r="F7" s="12"/>
    </row>
    <row r="8" spans="1:9" x14ac:dyDescent="0.25">
      <c r="A8" s="154"/>
      <c r="B8" s="13" t="s">
        <v>57</v>
      </c>
      <c r="C8" s="14" t="s">
        <v>58</v>
      </c>
      <c r="D8" s="12" t="s">
        <v>46</v>
      </c>
      <c r="E8" s="15" t="str">
        <f>'Risk Score Calculator'!C8</f>
        <v>≤1000 AADT</v>
      </c>
      <c r="F8" s="12"/>
    </row>
    <row r="9" spans="1:9" x14ac:dyDescent="0.25">
      <c r="A9" s="154"/>
      <c r="B9" s="13" t="s">
        <v>59</v>
      </c>
      <c r="C9" s="14" t="s">
        <v>60</v>
      </c>
      <c r="D9" s="12" t="s">
        <v>46</v>
      </c>
      <c r="E9" s="15">
        <f>'Risk Score Calculator'!C9</f>
        <v>1000</v>
      </c>
      <c r="F9" s="12"/>
    </row>
    <row r="10" spans="1:9" x14ac:dyDescent="0.25">
      <c r="A10" s="154" t="s">
        <v>61</v>
      </c>
      <c r="B10" s="13" t="s">
        <v>62</v>
      </c>
      <c r="C10" s="14" t="s">
        <v>63</v>
      </c>
      <c r="D10" s="12" t="s">
        <v>46</v>
      </c>
      <c r="E10" s="15" t="str">
        <f>'Risk Score Calculator'!C10</f>
        <v>N/A</v>
      </c>
      <c r="F10" s="12"/>
    </row>
    <row r="11" spans="1:9" x14ac:dyDescent="0.25">
      <c r="A11" s="154"/>
      <c r="B11" s="13" t="s">
        <v>12</v>
      </c>
      <c r="C11" s="14" t="s">
        <v>64</v>
      </c>
      <c r="D11" s="12" t="s">
        <v>46</v>
      </c>
      <c r="E11" s="15" t="str">
        <f>'Risk Score Calculator'!C11</f>
        <v>Verge</v>
      </c>
      <c r="F11" s="12"/>
    </row>
    <row r="12" spans="1:9" x14ac:dyDescent="0.25">
      <c r="A12" s="154"/>
      <c r="B12" s="13" t="s">
        <v>14</v>
      </c>
      <c r="C12" s="14" t="s">
        <v>65</v>
      </c>
      <c r="D12" s="12" t="s">
        <v>46</v>
      </c>
      <c r="E12" s="15" t="str">
        <f>'Risk Score Calculator'!C12</f>
        <v>Flat</v>
      </c>
      <c r="F12" s="16" t="s">
        <v>66</v>
      </c>
    </row>
    <row r="13" spans="1:9" x14ac:dyDescent="0.25">
      <c r="A13" s="154"/>
      <c r="B13" s="13" t="s">
        <v>15</v>
      </c>
      <c r="C13" s="14" t="s">
        <v>67</v>
      </c>
      <c r="D13" s="12" t="s">
        <v>46</v>
      </c>
      <c r="E13" s="15" t="str">
        <f>'Risk Score Calculator'!C13</f>
        <v>Straight</v>
      </c>
      <c r="F13" t="str">
        <f>'Risk Score Calculator'!C15</f>
        <v>Outside</v>
      </c>
    </row>
    <row r="14" spans="1:9" x14ac:dyDescent="0.25">
      <c r="A14" s="154"/>
      <c r="B14" s="13" t="s">
        <v>17</v>
      </c>
      <c r="C14" s="14" t="s">
        <v>68</v>
      </c>
      <c r="D14" s="12" t="s">
        <v>46</v>
      </c>
      <c r="E14" s="15" t="str">
        <f>'Risk Score Calculator'!C14</f>
        <v>Straight</v>
      </c>
      <c r="F14" s="12"/>
    </row>
    <row r="15" spans="1:9" x14ac:dyDescent="0.25">
      <c r="A15" s="154" t="s">
        <v>69</v>
      </c>
      <c r="B15" s="13" t="s">
        <v>70</v>
      </c>
      <c r="C15" s="14" t="s">
        <v>71</v>
      </c>
      <c r="D15" s="12" t="s">
        <v>46</v>
      </c>
      <c r="E15" s="15" t="str">
        <f>'Risk Score Calculator'!C17</f>
        <v>None</v>
      </c>
      <c r="F15" s="12"/>
      <c r="H15" t="str">
        <f>E13</f>
        <v>Straight</v>
      </c>
      <c r="I15">
        <f>MATCH(H15,Likelihood!C61:N61,0)</f>
        <v>1</v>
      </c>
    </row>
    <row r="16" spans="1:9" ht="30" x14ac:dyDescent="0.25">
      <c r="A16" s="154"/>
      <c r="B16" s="13" t="s">
        <v>72</v>
      </c>
      <c r="C16" s="14" t="s">
        <v>73</v>
      </c>
      <c r="D16" s="12" t="s">
        <v>46</v>
      </c>
      <c r="E16" s="15" t="str">
        <f>'Risk Score Calculator'!C18</f>
        <v>3.0m</v>
      </c>
      <c r="F16" s="12"/>
      <c r="H16" t="str">
        <f>E16</f>
        <v>3.0m</v>
      </c>
      <c r="I16">
        <f>MATCH(H16,Likelihood!B62:B87,0)</f>
        <v>6</v>
      </c>
    </row>
    <row r="17" spans="1:30" x14ac:dyDescent="0.25">
      <c r="A17" s="154" t="s">
        <v>74</v>
      </c>
      <c r="B17" s="13" t="s">
        <v>70</v>
      </c>
      <c r="C17" s="14" t="s">
        <v>75</v>
      </c>
      <c r="D17" s="12" t="s">
        <v>46</v>
      </c>
      <c r="E17" s="15" t="str">
        <f>'Risk Score Calculator'!C20</f>
        <v>None</v>
      </c>
      <c r="F17" s="12"/>
      <c r="H17" t="str">
        <f>E13</f>
        <v>Straight</v>
      </c>
      <c r="I17">
        <f>MATCH(H17,Likelihood!C61:N61,0)</f>
        <v>1</v>
      </c>
    </row>
    <row r="18" spans="1:30" x14ac:dyDescent="0.25">
      <c r="A18" s="154"/>
      <c r="B18" s="13" t="s">
        <v>76</v>
      </c>
      <c r="C18" s="14" t="s">
        <v>77</v>
      </c>
      <c r="D18" s="12" t="s">
        <v>46</v>
      </c>
      <c r="E18" s="15">
        <f>'Risk Score Calculator'!C21</f>
        <v>1</v>
      </c>
      <c r="F18" s="12"/>
      <c r="H18" t="str">
        <f>E20</f>
        <v>13.0m</v>
      </c>
      <c r="I18">
        <f>MATCH(H18,Likelihood!B62:B87,0)</f>
        <v>26</v>
      </c>
    </row>
    <row r="19" spans="1:30" ht="30" x14ac:dyDescent="0.25">
      <c r="A19" s="154"/>
      <c r="B19" s="13" t="s">
        <v>78</v>
      </c>
      <c r="C19" s="14" t="s">
        <v>79</v>
      </c>
      <c r="D19" s="12" t="s">
        <v>46</v>
      </c>
      <c r="E19" s="15">
        <f>'Risk Score Calculator'!C22</f>
        <v>500</v>
      </c>
      <c r="F19" s="12" t="s">
        <v>80</v>
      </c>
    </row>
    <row r="20" spans="1:30" ht="30" x14ac:dyDescent="0.25">
      <c r="A20" s="154"/>
      <c r="B20" s="13" t="s">
        <v>81</v>
      </c>
      <c r="C20" s="14" t="s">
        <v>82</v>
      </c>
      <c r="D20" s="12" t="s">
        <v>46</v>
      </c>
      <c r="E20" s="15" t="str">
        <f>'Risk Score Calculator'!C23</f>
        <v>13.0m</v>
      </c>
      <c r="F20" s="12"/>
    </row>
    <row r="21" spans="1:30" x14ac:dyDescent="0.25">
      <c r="A21" s="155" t="s">
        <v>83</v>
      </c>
      <c r="B21" s="13" t="s">
        <v>84</v>
      </c>
      <c r="C21" s="14" t="s">
        <v>85</v>
      </c>
      <c r="D21" s="12" t="s">
        <v>86</v>
      </c>
      <c r="E21" s="15">
        <f>VLOOKUP(E8,DivExp,2,FALSE)</f>
        <v>0.24</v>
      </c>
      <c r="F21" s="12"/>
      <c r="H21" s="31" t="s">
        <v>361</v>
      </c>
      <c r="I21" s="31" t="s">
        <v>360</v>
      </c>
      <c r="J21" s="31" t="s">
        <v>154</v>
      </c>
      <c r="K21" s="31" t="s">
        <v>360</v>
      </c>
      <c r="L21" s="31" t="s">
        <v>150</v>
      </c>
      <c r="M21" s="31" t="s">
        <v>360</v>
      </c>
      <c r="N21" s="31" t="s">
        <v>167</v>
      </c>
      <c r="O21" s="31" t="s">
        <v>360</v>
      </c>
    </row>
    <row r="22" spans="1:30" x14ac:dyDescent="0.25">
      <c r="A22" s="155"/>
      <c r="B22" s="13" t="s">
        <v>87</v>
      </c>
      <c r="C22" s="14" t="s">
        <v>88</v>
      </c>
      <c r="D22" s="12" t="s">
        <v>89</v>
      </c>
      <c r="E22" s="15">
        <f>IF($E$6="≥3",0.91,1)</f>
        <v>1</v>
      </c>
      <c r="F22" s="12"/>
      <c r="H22">
        <v>2</v>
      </c>
      <c r="I22">
        <v>1</v>
      </c>
      <c r="J22" s="21">
        <v>2.7</v>
      </c>
      <c r="K22">
        <v>1.25</v>
      </c>
      <c r="L22" s="21" t="s">
        <v>0</v>
      </c>
      <c r="M22">
        <v>1</v>
      </c>
      <c r="N22" s="21" t="s">
        <v>362</v>
      </c>
      <c r="O22" s="21">
        <v>1</v>
      </c>
    </row>
    <row r="23" spans="1:30" x14ac:dyDescent="0.25">
      <c r="A23" s="155"/>
      <c r="B23" s="13" t="s">
        <v>90</v>
      </c>
      <c r="C23" s="14" t="s">
        <v>91</v>
      </c>
      <c r="D23" s="12" t="s">
        <v>92</v>
      </c>
      <c r="E23" s="15">
        <f>VLOOKUP($E$7,lanefactUsixty,2)</f>
        <v>1</v>
      </c>
      <c r="F23" s="12"/>
      <c r="H23" t="s">
        <v>398</v>
      </c>
      <c r="I23">
        <v>0.91</v>
      </c>
      <c r="J23" s="32">
        <v>3</v>
      </c>
      <c r="K23">
        <v>1.1499999999999999</v>
      </c>
      <c r="L23" s="21" t="s">
        <v>155</v>
      </c>
      <c r="M23">
        <v>1.66</v>
      </c>
      <c r="N23" s="22" t="s">
        <v>363</v>
      </c>
      <c r="O23" s="21">
        <v>1.5</v>
      </c>
    </row>
    <row r="24" spans="1:30" x14ac:dyDescent="0.25">
      <c r="A24" s="155"/>
      <c r="B24" s="13" t="s">
        <v>93</v>
      </c>
      <c r="C24" s="14" t="s">
        <v>94</v>
      </c>
      <c r="D24" s="12" t="s">
        <v>92</v>
      </c>
      <c r="E24" s="15">
        <f>IF($E$2="Flat",1,IF($E$2="Rolling",1.66,IF($E$2="Mountainous",1.51)))</f>
        <v>1</v>
      </c>
      <c r="F24" s="12"/>
      <c r="J24" s="21">
        <v>3.3</v>
      </c>
      <c r="K24">
        <v>1.03</v>
      </c>
      <c r="L24" s="21" t="s">
        <v>160</v>
      </c>
      <c r="M24">
        <v>1.51</v>
      </c>
      <c r="N24" s="21" t="s">
        <v>364</v>
      </c>
      <c r="O24" s="21">
        <v>2</v>
      </c>
    </row>
    <row r="25" spans="1:30" x14ac:dyDescent="0.25">
      <c r="A25" s="155"/>
      <c r="B25" s="13" t="s">
        <v>95</v>
      </c>
      <c r="C25" s="14" t="s">
        <v>96</v>
      </c>
      <c r="D25" s="12" t="s">
        <v>97</v>
      </c>
      <c r="E25" s="15">
        <f>IF($E$12="Upgrade",1,IF($E$12="Downgrade from 4 percent to 6 percent",1.5,IF($E$12="Downgrade greater than 6 percent",2,IF($E$12="Flat",1,IF($E$12="Downgrade up to 4 percent",1)))))</f>
        <v>1</v>
      </c>
      <c r="F25" s="12"/>
      <c r="J25" s="21">
        <v>3.5</v>
      </c>
      <c r="K25">
        <v>1</v>
      </c>
      <c r="L25" s="21"/>
      <c r="M25" s="21"/>
      <c r="N25" s="21"/>
      <c r="O25" s="21"/>
    </row>
    <row r="26" spans="1:30" ht="15.75" thickBot="1" x14ac:dyDescent="0.3">
      <c r="A26" s="155"/>
      <c r="B26" s="13" t="s">
        <v>98</v>
      </c>
      <c r="C26" s="14" t="s">
        <v>99</v>
      </c>
      <c r="D26" s="12" t="s">
        <v>100</v>
      </c>
      <c r="E26" s="15">
        <f>VLOOKUP(L27,CurveFact,2,FALSE)</f>
        <v>1</v>
      </c>
      <c r="F26" s="12"/>
    </row>
    <row r="27" spans="1:30" x14ac:dyDescent="0.25">
      <c r="A27" s="155"/>
      <c r="B27" s="13" t="s">
        <v>101</v>
      </c>
      <c r="C27" s="14" t="s">
        <v>102</v>
      </c>
      <c r="D27" s="12" t="s">
        <v>103</v>
      </c>
      <c r="E27" s="37">
        <f>PRODUCT(E21:E26)</f>
        <v>0.24</v>
      </c>
      <c r="F27" s="12"/>
      <c r="K27" s="21" t="s">
        <v>389</v>
      </c>
      <c r="L27" s="21" t="str">
        <f>CONCATENATE(F13,E13)</f>
        <v>OutsideStraight</v>
      </c>
      <c r="AC27" s="40" t="s">
        <v>365</v>
      </c>
      <c r="AD27" s="41">
        <v>1</v>
      </c>
    </row>
    <row r="28" spans="1:30" ht="30" x14ac:dyDescent="0.25">
      <c r="A28" s="155" t="s">
        <v>104</v>
      </c>
      <c r="B28" s="13" t="s">
        <v>105</v>
      </c>
      <c r="C28" s="14" t="s">
        <v>106</v>
      </c>
      <c r="D28" s="12" t="s">
        <v>107</v>
      </c>
      <c r="E28" s="37" cm="1">
        <f t="array" ref="E28">INDEX(Likelihood!C62:N87,'4.6 110 D'!I16,'4.6 110 D'!I15)</f>
        <v>0.61</v>
      </c>
      <c r="F28" s="12"/>
      <c r="AC28" s="42" t="s">
        <v>390</v>
      </c>
      <c r="AD28" s="43">
        <v>1</v>
      </c>
    </row>
    <row r="29" spans="1:30" ht="45" x14ac:dyDescent="0.25">
      <c r="A29" s="155"/>
      <c r="B29" s="13" t="s">
        <v>108</v>
      </c>
      <c r="C29" s="14" t="s">
        <v>109</v>
      </c>
      <c r="D29" s="12" t="s">
        <v>110</v>
      </c>
      <c r="E29" s="37">
        <f>1-((E18+18)/MIN(E19,E9))</f>
        <v>0.96199999999999997</v>
      </c>
      <c r="F29" s="12"/>
      <c r="AC29" s="42" t="s">
        <v>391</v>
      </c>
      <c r="AD29" s="43">
        <v>1</v>
      </c>
    </row>
    <row r="30" spans="1:30" x14ac:dyDescent="0.25">
      <c r="A30" s="155"/>
      <c r="B30" s="13" t="s">
        <v>111</v>
      </c>
      <c r="C30" s="14" t="s">
        <v>112</v>
      </c>
      <c r="D30" s="12" t="s">
        <v>113</v>
      </c>
      <c r="E30" s="37">
        <f>IF($E$18=1,E28,(E29*E28))</f>
        <v>0.61</v>
      </c>
      <c r="F30" s="12"/>
      <c r="AC30" s="42" t="s">
        <v>366</v>
      </c>
      <c r="AD30" s="43">
        <v>1</v>
      </c>
    </row>
    <row r="31" spans="1:30" ht="30" x14ac:dyDescent="0.25">
      <c r="A31" s="155"/>
      <c r="B31" s="13" t="s">
        <v>114</v>
      </c>
      <c r="C31" s="14" t="s">
        <v>115</v>
      </c>
      <c r="D31" s="12" t="s">
        <v>107</v>
      </c>
      <c r="E31" s="37" cm="1">
        <f t="array" ref="E31">INDEX(Likelihood!C62:N87,'4.6 110 D'!I18,'4.6 110 D'!I17)</f>
        <v>0.12</v>
      </c>
      <c r="F31" s="12"/>
      <c r="AC31" s="42" t="s">
        <v>367</v>
      </c>
      <c r="AD31" s="43">
        <v>1</v>
      </c>
    </row>
    <row r="32" spans="1:30" x14ac:dyDescent="0.25">
      <c r="A32" s="155"/>
      <c r="B32" s="13" t="s">
        <v>116</v>
      </c>
      <c r="C32" s="14" t="s">
        <v>117</v>
      </c>
      <c r="D32" s="12" t="s">
        <v>118</v>
      </c>
      <c r="E32" s="37">
        <f>E31*((E18+18)/MIN(E19,E9))</f>
        <v>4.5599999999999998E-3</v>
      </c>
      <c r="F32" s="12" t="s">
        <v>119</v>
      </c>
      <c r="AC32" s="42" t="s">
        <v>368</v>
      </c>
      <c r="AD32" s="43">
        <v>1</v>
      </c>
    </row>
    <row r="33" spans="1:30" x14ac:dyDescent="0.25">
      <c r="A33" s="155"/>
      <c r="B33" s="13" t="s">
        <v>120</v>
      </c>
      <c r="C33" s="14" t="s">
        <v>121</v>
      </c>
      <c r="D33" s="12" t="s">
        <v>122</v>
      </c>
      <c r="E33" s="37">
        <f>(0.592*1*F33)/100</f>
        <v>0</v>
      </c>
      <c r="F33" s="17">
        <f>'Risk Score Calculator'!C25</f>
        <v>0</v>
      </c>
      <c r="H33" s="26" t="s">
        <v>164</v>
      </c>
      <c r="I33">
        <f>MATCH(H33,'Trauma Index'!C2:H2,0)</f>
        <v>1</v>
      </c>
      <c r="AC33" s="42" t="s">
        <v>369</v>
      </c>
      <c r="AD33" s="43">
        <v>1</v>
      </c>
    </row>
    <row r="34" spans="1:30" ht="30" x14ac:dyDescent="0.25">
      <c r="A34" s="154" t="s">
        <v>123</v>
      </c>
      <c r="B34" s="13" t="s">
        <v>124</v>
      </c>
      <c r="C34" s="14" t="s">
        <v>125</v>
      </c>
      <c r="D34" s="12" t="s">
        <v>126</v>
      </c>
      <c r="E34" s="37" cm="1">
        <f t="array" ref="E34">INDEX('Trauma Index'!C3:H108,'4.6 110 D'!I35,'4.6 110 D'!I33)</f>
        <v>0</v>
      </c>
      <c r="F34" s="12"/>
      <c r="H34" t="str">
        <f>E4</f>
        <v>110 km/h</v>
      </c>
      <c r="I34">
        <f>MATCH(H34,'Trauma Index'!C2:H2,0)</f>
        <v>1</v>
      </c>
      <c r="AC34" s="42" t="s">
        <v>370</v>
      </c>
      <c r="AD34" s="43">
        <v>1</v>
      </c>
    </row>
    <row r="35" spans="1:30" ht="30" x14ac:dyDescent="0.25">
      <c r="A35" s="154"/>
      <c r="B35" s="13" t="s">
        <v>127</v>
      </c>
      <c r="C35" s="14" t="s">
        <v>128</v>
      </c>
      <c r="D35" s="12" t="s">
        <v>129</v>
      </c>
      <c r="E35" s="37" cm="1">
        <f t="array" ref="E35">INDEX('Trauma Index'!C3:H108,'4.6 110 D'!I35,'4.6 110 D'!I34)</f>
        <v>0</v>
      </c>
      <c r="F35" s="12"/>
      <c r="H35" t="str">
        <f>E15</f>
        <v>None</v>
      </c>
      <c r="I35">
        <f>MATCH(H35,'Trauma Index'!B3:B108,0)</f>
        <v>1</v>
      </c>
      <c r="AC35" s="42" t="s">
        <v>371</v>
      </c>
      <c r="AD35" s="43">
        <v>1.3</v>
      </c>
    </row>
    <row r="36" spans="1:30" ht="30" x14ac:dyDescent="0.25">
      <c r="A36" s="154"/>
      <c r="B36" s="13" t="s">
        <v>130</v>
      </c>
      <c r="C36" s="14" t="s">
        <v>131</v>
      </c>
      <c r="D36" s="12" t="s">
        <v>132</v>
      </c>
      <c r="E36" s="37" cm="1">
        <f t="array" ref="E36">INDEX('Trauma Index'!C3:H108,'4.6 110 D'!I36,'4.6 110 D'!I33)</f>
        <v>0</v>
      </c>
      <c r="F36" s="12"/>
      <c r="H36" t="str">
        <f>E17</f>
        <v>None</v>
      </c>
      <c r="I36">
        <f>MATCH(H36,'Trauma Index'!B3:B108,0)</f>
        <v>1</v>
      </c>
      <c r="AC36" s="42" t="s">
        <v>372</v>
      </c>
      <c r="AD36" s="43">
        <v>1.5</v>
      </c>
    </row>
    <row r="37" spans="1:30" ht="30" x14ac:dyDescent="0.25">
      <c r="A37" s="154"/>
      <c r="B37" s="13" t="s">
        <v>133</v>
      </c>
      <c r="C37" s="14" t="s">
        <v>134</v>
      </c>
      <c r="D37" s="12" t="s">
        <v>129</v>
      </c>
      <c r="E37" s="37" cm="1">
        <f t="array" ref="E37">INDEX('Trauma Index'!C3:H108,'4.6 110 D'!I36,'4.6 110 D'!I34)</f>
        <v>0</v>
      </c>
      <c r="F37" s="12"/>
      <c r="AC37" s="42" t="s">
        <v>373</v>
      </c>
      <c r="AD37" s="43">
        <v>1.7</v>
      </c>
    </row>
    <row r="38" spans="1:30" x14ac:dyDescent="0.25">
      <c r="A38" s="154"/>
      <c r="B38" s="13" t="s">
        <v>135</v>
      </c>
      <c r="C38" s="14" t="s">
        <v>136</v>
      </c>
      <c r="D38" s="12">
        <v>0.63</v>
      </c>
      <c r="E38" s="37">
        <v>0.63</v>
      </c>
      <c r="F38" s="12"/>
      <c r="AC38" s="42" t="s">
        <v>374</v>
      </c>
      <c r="AD38" s="43">
        <v>2</v>
      </c>
    </row>
    <row r="39" spans="1:30" ht="45" x14ac:dyDescent="0.25">
      <c r="A39" s="155" t="s">
        <v>137</v>
      </c>
      <c r="B39" s="13" t="s">
        <v>138</v>
      </c>
      <c r="C39" s="14" t="s">
        <v>139</v>
      </c>
      <c r="D39" s="12" t="s">
        <v>140</v>
      </c>
      <c r="E39" s="37">
        <f>E27*E30*E35</f>
        <v>0</v>
      </c>
      <c r="F39" s="12"/>
      <c r="AC39" s="42" t="s">
        <v>375</v>
      </c>
      <c r="AD39" s="43">
        <v>2</v>
      </c>
    </row>
    <row r="40" spans="1:30" ht="45" x14ac:dyDescent="0.25">
      <c r="A40" s="155"/>
      <c r="B40" s="13" t="s">
        <v>141</v>
      </c>
      <c r="C40" s="14" t="s">
        <v>142</v>
      </c>
      <c r="D40" s="12" t="s">
        <v>143</v>
      </c>
      <c r="E40" s="37">
        <f>E27*E32*E37</f>
        <v>0</v>
      </c>
      <c r="F40" s="12"/>
      <c r="AC40" s="42" t="s">
        <v>376</v>
      </c>
      <c r="AD40" s="43">
        <v>2</v>
      </c>
    </row>
    <row r="41" spans="1:30" ht="30.75" thickBot="1" x14ac:dyDescent="0.3">
      <c r="A41" s="155"/>
      <c r="B41" s="13" t="s">
        <v>144</v>
      </c>
      <c r="C41" s="14" t="s">
        <v>145</v>
      </c>
      <c r="D41" s="12" t="s">
        <v>146</v>
      </c>
      <c r="E41" s="38">
        <f>E27*E33*E38</f>
        <v>0</v>
      </c>
      <c r="F41" s="12"/>
      <c r="AC41" s="42" t="s">
        <v>377</v>
      </c>
      <c r="AD41" s="43">
        <v>1</v>
      </c>
    </row>
    <row r="42" spans="1:30" ht="15.75" thickBot="1" x14ac:dyDescent="0.3">
      <c r="A42" s="156"/>
      <c r="B42" s="18" t="s">
        <v>147</v>
      </c>
      <c r="C42" s="19" t="s">
        <v>148</v>
      </c>
      <c r="D42" s="20" t="s">
        <v>149</v>
      </c>
      <c r="E42" s="39">
        <f>E39+E40+E41</f>
        <v>0</v>
      </c>
      <c r="F42" s="20"/>
      <c r="AC42" s="42" t="s">
        <v>392</v>
      </c>
      <c r="AD42" s="43">
        <v>1</v>
      </c>
    </row>
    <row r="43" spans="1:30" x14ac:dyDescent="0.25">
      <c r="AC43" s="42" t="s">
        <v>393</v>
      </c>
      <c r="AD43" s="43">
        <v>1</v>
      </c>
    </row>
    <row r="44" spans="1:30" x14ac:dyDescent="0.25">
      <c r="AC44" s="42" t="s">
        <v>378</v>
      </c>
      <c r="AD44" s="43">
        <v>1</v>
      </c>
    </row>
    <row r="45" spans="1:30" x14ac:dyDescent="0.25">
      <c r="AC45" s="42" t="s">
        <v>379</v>
      </c>
      <c r="AD45" s="43">
        <v>1</v>
      </c>
    </row>
    <row r="46" spans="1:30" x14ac:dyDescent="0.25">
      <c r="AC46" s="42" t="s">
        <v>380</v>
      </c>
      <c r="AD46" s="43">
        <v>1</v>
      </c>
    </row>
    <row r="47" spans="1:30" x14ac:dyDescent="0.25">
      <c r="AC47" s="42" t="s">
        <v>381</v>
      </c>
      <c r="AD47" s="43">
        <v>1</v>
      </c>
    </row>
    <row r="48" spans="1:30" x14ac:dyDescent="0.25">
      <c r="AC48" s="42" t="s">
        <v>382</v>
      </c>
      <c r="AD48" s="43">
        <v>1</v>
      </c>
    </row>
    <row r="49" spans="29:30" x14ac:dyDescent="0.25">
      <c r="AC49" s="42" t="s">
        <v>383</v>
      </c>
      <c r="AD49" s="43">
        <v>2</v>
      </c>
    </row>
    <row r="50" spans="29:30" x14ac:dyDescent="0.25">
      <c r="AC50" s="42" t="s">
        <v>384</v>
      </c>
      <c r="AD50" s="43">
        <v>2.5</v>
      </c>
    </row>
    <row r="51" spans="29:30" x14ac:dyDescent="0.25">
      <c r="AC51" s="42" t="s">
        <v>385</v>
      </c>
      <c r="AD51" s="43">
        <v>3</v>
      </c>
    </row>
    <row r="52" spans="29:30" ht="15.75" thickBot="1" x14ac:dyDescent="0.3">
      <c r="AC52" s="44" t="s">
        <v>394</v>
      </c>
      <c r="AD52" s="45">
        <v>4</v>
      </c>
    </row>
  </sheetData>
  <mergeCells count="8">
    <mergeCell ref="A34:A38"/>
    <mergeCell ref="A39:A42"/>
    <mergeCell ref="A2:A9"/>
    <mergeCell ref="A10:A14"/>
    <mergeCell ref="A15:A16"/>
    <mergeCell ref="A17:A20"/>
    <mergeCell ref="A21:A27"/>
    <mergeCell ref="A28:A3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09209-E3E0-4E74-BD79-BB69BD21AB6A}">
  <dimension ref="B2:F43"/>
  <sheetViews>
    <sheetView topLeftCell="A10" workbookViewId="0">
      <selection activeCell="H16" sqref="H16"/>
    </sheetView>
  </sheetViews>
  <sheetFormatPr defaultRowHeight="15" x14ac:dyDescent="0.25"/>
  <cols>
    <col min="2" max="2" width="24.42578125" customWidth="1"/>
    <col min="5" max="5" width="24.85546875" customWidth="1"/>
  </cols>
  <sheetData>
    <row r="2" spans="2:6" x14ac:dyDescent="0.25">
      <c r="B2" s="158" t="s">
        <v>313</v>
      </c>
      <c r="C2" s="158"/>
      <c r="E2" s="158" t="s">
        <v>314</v>
      </c>
      <c r="F2" s="158"/>
    </row>
    <row r="3" spans="2:6" x14ac:dyDescent="0.25">
      <c r="B3" s="27" t="s">
        <v>315</v>
      </c>
      <c r="C3" s="25">
        <v>0.4</v>
      </c>
      <c r="E3" s="28" t="s">
        <v>315</v>
      </c>
      <c r="F3" s="25">
        <v>0.24</v>
      </c>
    </row>
    <row r="4" spans="2:6" x14ac:dyDescent="0.25">
      <c r="B4" s="27" t="s">
        <v>316</v>
      </c>
      <c r="C4" s="25">
        <v>0.6</v>
      </c>
      <c r="E4" s="27" t="s">
        <v>316</v>
      </c>
      <c r="F4" s="25">
        <v>0.45</v>
      </c>
    </row>
    <row r="5" spans="2:6" x14ac:dyDescent="0.25">
      <c r="B5" s="27" t="s">
        <v>317</v>
      </c>
      <c r="C5" s="25">
        <v>0.75</v>
      </c>
      <c r="E5" s="27" t="s">
        <v>317</v>
      </c>
      <c r="F5" s="25">
        <v>0.64</v>
      </c>
    </row>
    <row r="6" spans="2:6" x14ac:dyDescent="0.25">
      <c r="B6" s="27" t="s">
        <v>318</v>
      </c>
      <c r="C6" s="25">
        <v>0.82</v>
      </c>
      <c r="E6" s="27" t="s">
        <v>318</v>
      </c>
      <c r="F6" s="25">
        <v>0.77</v>
      </c>
    </row>
    <row r="7" spans="2:6" x14ac:dyDescent="0.25">
      <c r="B7" s="27" t="s">
        <v>319</v>
      </c>
      <c r="C7" s="25">
        <v>0.82</v>
      </c>
      <c r="E7" s="27" t="s">
        <v>319</v>
      </c>
      <c r="F7" s="25">
        <v>0.91</v>
      </c>
    </row>
    <row r="8" spans="2:6" x14ac:dyDescent="0.25">
      <c r="B8" s="27" t="s">
        <v>320</v>
      </c>
      <c r="C8" s="25">
        <v>0.82</v>
      </c>
      <c r="E8" s="27" t="s">
        <v>320</v>
      </c>
      <c r="F8" s="25">
        <v>0.98</v>
      </c>
    </row>
    <row r="9" spans="2:6" x14ac:dyDescent="0.25">
      <c r="B9" s="27" t="s">
        <v>321</v>
      </c>
      <c r="C9" s="25">
        <v>0.85</v>
      </c>
      <c r="E9" s="27" t="s">
        <v>321</v>
      </c>
      <c r="F9" s="25">
        <v>1.05</v>
      </c>
    </row>
    <row r="10" spans="2:6" x14ac:dyDescent="0.25">
      <c r="B10" s="27" t="s">
        <v>322</v>
      </c>
      <c r="C10" s="25">
        <v>0.85</v>
      </c>
      <c r="E10" s="27" t="s">
        <v>322</v>
      </c>
      <c r="F10" s="25">
        <v>1.1200000000000001</v>
      </c>
    </row>
    <row r="11" spans="2:6" x14ac:dyDescent="0.25">
      <c r="B11" s="27" t="s">
        <v>323</v>
      </c>
      <c r="C11" s="25">
        <v>0.85</v>
      </c>
      <c r="E11" s="27" t="s">
        <v>323</v>
      </c>
      <c r="F11" s="25">
        <v>1.17</v>
      </c>
    </row>
    <row r="12" spans="2:6" x14ac:dyDescent="0.25">
      <c r="B12" s="27" t="s">
        <v>324</v>
      </c>
      <c r="C12" s="25">
        <v>0.85</v>
      </c>
      <c r="E12" s="27" t="s">
        <v>324</v>
      </c>
      <c r="F12" s="25">
        <v>1.2</v>
      </c>
    </row>
    <row r="13" spans="2:6" x14ac:dyDescent="0.25">
      <c r="B13" s="27" t="s">
        <v>325</v>
      </c>
      <c r="C13" s="25">
        <v>0.85</v>
      </c>
      <c r="E13" s="27" t="s">
        <v>325</v>
      </c>
      <c r="F13" s="25">
        <v>1.22</v>
      </c>
    </row>
    <row r="14" spans="2:6" x14ac:dyDescent="0.25">
      <c r="B14" s="27" t="s">
        <v>326</v>
      </c>
      <c r="C14" s="25">
        <v>0.85</v>
      </c>
      <c r="E14" s="27" t="s">
        <v>326</v>
      </c>
      <c r="F14" s="25">
        <v>1.22</v>
      </c>
    </row>
    <row r="15" spans="2:6" x14ac:dyDescent="0.25">
      <c r="B15" s="27" t="s">
        <v>327</v>
      </c>
      <c r="C15" s="25">
        <v>0.93</v>
      </c>
      <c r="E15" s="27" t="s">
        <v>327</v>
      </c>
      <c r="F15" s="25">
        <v>1.22</v>
      </c>
    </row>
    <row r="16" spans="2:6" x14ac:dyDescent="0.25">
      <c r="B16" s="27" t="s">
        <v>328</v>
      </c>
      <c r="C16" s="25">
        <v>1</v>
      </c>
      <c r="E16" s="27" t="s">
        <v>328</v>
      </c>
      <c r="F16" s="25">
        <v>1.22</v>
      </c>
    </row>
    <row r="17" spans="2:6" x14ac:dyDescent="0.25">
      <c r="B17" s="27" t="s">
        <v>329</v>
      </c>
      <c r="C17" s="25">
        <v>1.08</v>
      </c>
      <c r="E17" s="27" t="s">
        <v>329</v>
      </c>
      <c r="F17" s="25">
        <v>1.22</v>
      </c>
    </row>
    <row r="18" spans="2:6" x14ac:dyDescent="0.25">
      <c r="B18" s="27" t="s">
        <v>330</v>
      </c>
      <c r="C18" s="25">
        <v>1.1399999999999999</v>
      </c>
      <c r="E18" s="27" t="s">
        <v>330</v>
      </c>
      <c r="F18" s="25">
        <v>1.22</v>
      </c>
    </row>
    <row r="19" spans="2:6" x14ac:dyDescent="0.25">
      <c r="B19" s="27" t="s">
        <v>331</v>
      </c>
      <c r="C19" s="25">
        <v>1.21</v>
      </c>
      <c r="E19" s="27" t="s">
        <v>331</v>
      </c>
      <c r="F19" s="25">
        <v>1.22</v>
      </c>
    </row>
    <row r="20" spans="2:6" x14ac:dyDescent="0.25">
      <c r="B20" s="27" t="s">
        <v>332</v>
      </c>
      <c r="C20" s="25">
        <v>1.28</v>
      </c>
      <c r="E20" s="27" t="s">
        <v>332</v>
      </c>
      <c r="F20" s="25">
        <v>1.22</v>
      </c>
    </row>
    <row r="21" spans="2:6" x14ac:dyDescent="0.25">
      <c r="B21" s="27" t="s">
        <v>333</v>
      </c>
      <c r="C21" s="25">
        <v>1.35</v>
      </c>
      <c r="E21" s="27" t="s">
        <v>333</v>
      </c>
      <c r="F21" s="25">
        <v>1.22</v>
      </c>
    </row>
    <row r="22" spans="2:6" x14ac:dyDescent="0.25">
      <c r="B22" s="27" t="s">
        <v>334</v>
      </c>
      <c r="C22" s="25">
        <v>1.42</v>
      </c>
      <c r="E22" s="27" t="s">
        <v>334</v>
      </c>
      <c r="F22" s="25">
        <v>1.22</v>
      </c>
    </row>
    <row r="23" spans="2:6" x14ac:dyDescent="0.25">
      <c r="B23" s="27" t="s">
        <v>335</v>
      </c>
      <c r="C23" s="25">
        <v>1.42</v>
      </c>
      <c r="E23" s="27" t="s">
        <v>336</v>
      </c>
      <c r="F23" s="25">
        <v>1.22</v>
      </c>
    </row>
    <row r="24" spans="2:6" x14ac:dyDescent="0.25">
      <c r="E24" s="27" t="s">
        <v>337</v>
      </c>
      <c r="F24" s="25">
        <v>1.22</v>
      </c>
    </row>
    <row r="25" spans="2:6" x14ac:dyDescent="0.25">
      <c r="E25" s="28" t="s">
        <v>338</v>
      </c>
      <c r="F25" s="25">
        <v>1.22</v>
      </c>
    </row>
    <row r="26" spans="2:6" x14ac:dyDescent="0.25">
      <c r="E26" s="28" t="s">
        <v>339</v>
      </c>
      <c r="F26" s="25">
        <v>1.26</v>
      </c>
    </row>
    <row r="27" spans="2:6" x14ac:dyDescent="0.25">
      <c r="E27" s="28" t="s">
        <v>340</v>
      </c>
      <c r="F27" s="25">
        <v>1.3</v>
      </c>
    </row>
    <row r="28" spans="2:6" x14ac:dyDescent="0.25">
      <c r="E28" s="28" t="s">
        <v>341</v>
      </c>
      <c r="F28" s="25">
        <v>1.36</v>
      </c>
    </row>
    <row r="29" spans="2:6" x14ac:dyDescent="0.25">
      <c r="E29" s="28" t="s">
        <v>342</v>
      </c>
      <c r="F29" s="25">
        <v>1.41</v>
      </c>
    </row>
    <row r="30" spans="2:6" x14ac:dyDescent="0.25">
      <c r="E30" s="28" t="s">
        <v>343</v>
      </c>
      <c r="F30" s="25">
        <v>1.47</v>
      </c>
    </row>
    <row r="31" spans="2:6" x14ac:dyDescent="0.25">
      <c r="E31" s="28" t="s">
        <v>344</v>
      </c>
      <c r="F31" s="25">
        <v>1.52</v>
      </c>
    </row>
    <row r="32" spans="2:6" x14ac:dyDescent="0.25">
      <c r="E32" s="28" t="s">
        <v>345</v>
      </c>
      <c r="F32" s="25">
        <v>1.57</v>
      </c>
    </row>
    <row r="33" spans="5:6" x14ac:dyDescent="0.25">
      <c r="E33" s="28" t="s">
        <v>346</v>
      </c>
      <c r="F33" s="25">
        <v>1.63</v>
      </c>
    </row>
    <row r="34" spans="5:6" x14ac:dyDescent="0.25">
      <c r="E34" s="28" t="s">
        <v>347</v>
      </c>
      <c r="F34" s="25">
        <v>1.67</v>
      </c>
    </row>
    <row r="35" spans="5:6" x14ac:dyDescent="0.25">
      <c r="E35" s="28" t="s">
        <v>348</v>
      </c>
      <c r="F35" s="25">
        <v>1.72</v>
      </c>
    </row>
    <row r="36" spans="5:6" x14ac:dyDescent="0.25">
      <c r="E36" s="28" t="s">
        <v>349</v>
      </c>
      <c r="F36" s="25">
        <v>1.78</v>
      </c>
    </row>
    <row r="37" spans="5:6" x14ac:dyDescent="0.25">
      <c r="E37" s="28" t="s">
        <v>350</v>
      </c>
      <c r="F37" s="25">
        <v>1.83</v>
      </c>
    </row>
    <row r="38" spans="5:6" x14ac:dyDescent="0.25">
      <c r="E38" s="28" t="s">
        <v>351</v>
      </c>
      <c r="F38" s="25">
        <v>1.88</v>
      </c>
    </row>
    <row r="39" spans="5:6" x14ac:dyDescent="0.25">
      <c r="E39" s="28" t="s">
        <v>352</v>
      </c>
      <c r="F39" s="25">
        <v>1.93</v>
      </c>
    </row>
    <row r="40" spans="5:6" x14ac:dyDescent="0.25">
      <c r="E40" s="28" t="s">
        <v>353</v>
      </c>
      <c r="F40" s="25">
        <v>1.97</v>
      </c>
    </row>
    <row r="41" spans="5:6" x14ac:dyDescent="0.25">
      <c r="E41" s="28" t="s">
        <v>354</v>
      </c>
      <c r="F41" s="25">
        <v>2.04</v>
      </c>
    </row>
    <row r="42" spans="5:6" x14ac:dyDescent="0.25">
      <c r="E42" s="28" t="s">
        <v>355</v>
      </c>
      <c r="F42" s="25">
        <v>2.1</v>
      </c>
    </row>
    <row r="43" spans="5:6" x14ac:dyDescent="0.25">
      <c r="E43" s="28" t="s">
        <v>356</v>
      </c>
      <c r="F43" s="25">
        <v>2.1</v>
      </c>
    </row>
  </sheetData>
  <mergeCells count="2">
    <mergeCell ref="B2:C2"/>
    <mergeCell ref="E2:F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B2EA-CF60-44B3-BCCE-3F0BD623D72E}">
  <dimension ref="B2:N87"/>
  <sheetViews>
    <sheetView topLeftCell="A19" workbookViewId="0">
      <selection activeCell="J7" sqref="J7"/>
    </sheetView>
  </sheetViews>
  <sheetFormatPr defaultRowHeight="15" x14ac:dyDescent="0.25"/>
  <sheetData>
    <row r="2" spans="2:14" x14ac:dyDescent="0.25">
      <c r="B2" t="s">
        <v>357</v>
      </c>
    </row>
    <row r="3" spans="2:14" x14ac:dyDescent="0.25">
      <c r="C3" t="s">
        <v>175</v>
      </c>
      <c r="D3" t="s">
        <v>179</v>
      </c>
      <c r="E3" t="s">
        <v>16</v>
      </c>
      <c r="F3" t="s">
        <v>187</v>
      </c>
      <c r="G3" t="s">
        <v>189</v>
      </c>
      <c r="H3" t="s">
        <v>190</v>
      </c>
      <c r="I3" t="s">
        <v>192</v>
      </c>
      <c r="J3" t="s">
        <v>195</v>
      </c>
      <c r="K3" t="s">
        <v>197</v>
      </c>
      <c r="L3" t="s">
        <v>199</v>
      </c>
      <c r="M3" t="s">
        <v>202</v>
      </c>
      <c r="N3" t="s">
        <v>205</v>
      </c>
    </row>
    <row r="4" spans="2:14" x14ac:dyDescent="0.25">
      <c r="B4" t="s">
        <v>177</v>
      </c>
      <c r="C4" s="25">
        <v>0.8</v>
      </c>
      <c r="D4" s="25">
        <v>0.80500000000000005</v>
      </c>
      <c r="E4" s="25">
        <v>0.81</v>
      </c>
      <c r="F4" s="25">
        <v>0.81500000000000006</v>
      </c>
      <c r="G4" s="25">
        <v>0.82</v>
      </c>
      <c r="H4" s="25">
        <v>0.82499999999999996</v>
      </c>
      <c r="I4" s="25">
        <v>0.82874999999999999</v>
      </c>
      <c r="J4" s="25">
        <v>0.83250000000000002</v>
      </c>
      <c r="K4" s="25">
        <v>0.83624999999999994</v>
      </c>
      <c r="L4" s="25">
        <v>0.84</v>
      </c>
      <c r="M4" s="25">
        <v>0.85499999999999998</v>
      </c>
      <c r="N4" s="25">
        <v>0.87</v>
      </c>
    </row>
    <row r="5" spans="2:14" x14ac:dyDescent="0.25">
      <c r="B5" t="s">
        <v>183</v>
      </c>
      <c r="C5" s="25">
        <v>0.65</v>
      </c>
      <c r="D5" s="25">
        <v>0.66999999999999993</v>
      </c>
      <c r="E5" s="25">
        <v>0.69</v>
      </c>
      <c r="F5" s="25">
        <v>0.69499999999999995</v>
      </c>
      <c r="G5" s="25">
        <v>0.7</v>
      </c>
      <c r="H5" s="25">
        <v>0.70499999999999996</v>
      </c>
      <c r="I5" s="25">
        <v>0.70874999999999999</v>
      </c>
      <c r="J5" s="25">
        <v>0.71249999999999991</v>
      </c>
      <c r="K5" s="25">
        <v>0.71624999999999994</v>
      </c>
      <c r="L5" s="25">
        <v>0.72</v>
      </c>
      <c r="M5" s="25">
        <v>0.74</v>
      </c>
      <c r="N5" s="25">
        <v>0.76</v>
      </c>
    </row>
    <row r="6" spans="2:14" x14ac:dyDescent="0.25">
      <c r="B6" t="s">
        <v>186</v>
      </c>
      <c r="C6" s="25">
        <v>0.54</v>
      </c>
      <c r="D6" s="25">
        <v>0.5625</v>
      </c>
      <c r="E6" s="25">
        <v>0.58499999999999996</v>
      </c>
      <c r="F6" s="25">
        <v>0.59166666666666667</v>
      </c>
      <c r="G6" s="25">
        <v>0.59833333333333327</v>
      </c>
      <c r="H6" s="25">
        <v>0.60499999999999998</v>
      </c>
      <c r="I6" s="25">
        <v>0.61</v>
      </c>
      <c r="J6" s="25">
        <v>0.61499999999999999</v>
      </c>
      <c r="K6" s="25">
        <v>0.62</v>
      </c>
      <c r="L6" s="25">
        <v>0.625</v>
      </c>
      <c r="M6" s="25">
        <v>0.64749999999999996</v>
      </c>
      <c r="N6" s="25">
        <v>0.66999999999999993</v>
      </c>
    </row>
    <row r="7" spans="2:14" x14ac:dyDescent="0.25">
      <c r="B7" t="s">
        <v>24</v>
      </c>
      <c r="C7" s="25">
        <v>0.43</v>
      </c>
      <c r="D7" s="25">
        <v>0.45499999999999996</v>
      </c>
      <c r="E7" s="25">
        <v>0.48</v>
      </c>
      <c r="F7" s="25">
        <v>0.48833333333333334</v>
      </c>
      <c r="G7" s="25">
        <v>0.49666666666666665</v>
      </c>
      <c r="H7" s="25">
        <v>0.505</v>
      </c>
      <c r="I7" s="25">
        <v>0.51124999999999998</v>
      </c>
      <c r="J7" s="25">
        <v>0.51750000000000007</v>
      </c>
      <c r="K7" s="25">
        <v>0.52375000000000005</v>
      </c>
      <c r="L7" s="25">
        <v>0.53</v>
      </c>
      <c r="M7" s="25">
        <v>0.55499999999999994</v>
      </c>
      <c r="N7" s="25">
        <v>0.57999999999999996</v>
      </c>
    </row>
    <row r="8" spans="2:14" x14ac:dyDescent="0.25">
      <c r="B8" t="s">
        <v>31</v>
      </c>
      <c r="C8" s="25">
        <v>0.36</v>
      </c>
      <c r="D8" s="25">
        <v>0.38</v>
      </c>
      <c r="E8" s="25">
        <v>0.4</v>
      </c>
      <c r="F8" s="25">
        <v>0.41000000000000003</v>
      </c>
      <c r="G8" s="25">
        <v>0.42</v>
      </c>
      <c r="H8" s="25">
        <v>0.43</v>
      </c>
      <c r="I8" s="25">
        <v>0.4375</v>
      </c>
      <c r="J8" s="25">
        <v>0.44500000000000006</v>
      </c>
      <c r="K8" s="25">
        <v>0.45250000000000001</v>
      </c>
      <c r="L8" s="25">
        <v>0.46</v>
      </c>
      <c r="M8" s="25">
        <v>0.48749999999999999</v>
      </c>
      <c r="N8" s="25">
        <v>0.51500000000000001</v>
      </c>
    </row>
    <row r="9" spans="2:14" x14ac:dyDescent="0.25">
      <c r="B9" t="s">
        <v>191</v>
      </c>
      <c r="C9" s="25">
        <v>0.28999999999999998</v>
      </c>
      <c r="D9" s="25">
        <v>0.30499999999999999</v>
      </c>
      <c r="E9" s="25">
        <v>0.32</v>
      </c>
      <c r="F9" s="25">
        <v>0.33166666666666667</v>
      </c>
      <c r="G9" s="25">
        <v>0.34333333333333332</v>
      </c>
      <c r="H9" s="25">
        <v>0.35499999999999998</v>
      </c>
      <c r="I9" s="25">
        <v>0.36375000000000002</v>
      </c>
      <c r="J9" s="25">
        <v>0.3725</v>
      </c>
      <c r="K9" s="25">
        <v>0.38124999999999998</v>
      </c>
      <c r="L9" s="25">
        <v>0.39</v>
      </c>
      <c r="M9" s="25">
        <v>0.42000000000000004</v>
      </c>
      <c r="N9" s="25">
        <v>0.45</v>
      </c>
    </row>
    <row r="10" spans="2:14" x14ac:dyDescent="0.25">
      <c r="B10" t="s">
        <v>194</v>
      </c>
      <c r="C10" s="25">
        <v>0.245</v>
      </c>
      <c r="D10" s="25">
        <v>0.26</v>
      </c>
      <c r="E10" s="25">
        <v>0.27500000000000002</v>
      </c>
      <c r="F10" s="25">
        <v>0.28500000000000003</v>
      </c>
      <c r="G10" s="25">
        <v>0.29499999999999998</v>
      </c>
      <c r="H10" s="25">
        <v>0.30499999999999999</v>
      </c>
      <c r="I10" s="25">
        <v>0.3125</v>
      </c>
      <c r="J10" s="25">
        <v>0.32</v>
      </c>
      <c r="K10" s="25">
        <v>0.32750000000000001</v>
      </c>
      <c r="L10" s="25">
        <v>0.33500000000000002</v>
      </c>
      <c r="M10" s="25">
        <v>0.36500000000000005</v>
      </c>
      <c r="N10" s="25">
        <v>0.39500000000000002</v>
      </c>
    </row>
    <row r="11" spans="2:14" x14ac:dyDescent="0.25">
      <c r="B11" t="s">
        <v>196</v>
      </c>
      <c r="C11" s="25">
        <v>0.2</v>
      </c>
      <c r="D11" s="25">
        <v>0.21500000000000002</v>
      </c>
      <c r="E11" s="25">
        <v>0.23</v>
      </c>
      <c r="F11" s="25">
        <v>0.23833333333333334</v>
      </c>
      <c r="G11" s="25">
        <v>0.24666666666666667</v>
      </c>
      <c r="H11" s="25">
        <v>0.255</v>
      </c>
      <c r="I11" s="25">
        <v>0.26124999999999998</v>
      </c>
      <c r="J11" s="25">
        <v>0.26750000000000002</v>
      </c>
      <c r="K11" s="25">
        <v>0.27375000000000005</v>
      </c>
      <c r="L11" s="25">
        <v>0.28000000000000003</v>
      </c>
      <c r="M11" s="25">
        <v>0.31000000000000005</v>
      </c>
      <c r="N11" s="25">
        <v>0.34</v>
      </c>
    </row>
    <row r="12" spans="2:14" x14ac:dyDescent="0.25">
      <c r="B12" t="s">
        <v>198</v>
      </c>
      <c r="C12" s="25">
        <v>0.16</v>
      </c>
      <c r="D12" s="25">
        <v>0.17500000000000002</v>
      </c>
      <c r="E12" s="25">
        <v>0.19</v>
      </c>
      <c r="F12" s="25">
        <v>0.19916666666666666</v>
      </c>
      <c r="G12" s="25">
        <v>0.20833333333333331</v>
      </c>
      <c r="H12" s="25">
        <v>0.2175</v>
      </c>
      <c r="I12" s="25">
        <v>0.22437499999999999</v>
      </c>
      <c r="J12" s="25">
        <v>0.23125000000000001</v>
      </c>
      <c r="K12" s="25">
        <v>0.23812500000000003</v>
      </c>
      <c r="L12" s="25">
        <v>0.245</v>
      </c>
      <c r="M12" s="25">
        <v>0.27250000000000002</v>
      </c>
      <c r="N12" s="25">
        <v>0.30000000000000004</v>
      </c>
    </row>
    <row r="13" spans="2:14" x14ac:dyDescent="0.25">
      <c r="B13" t="s">
        <v>201</v>
      </c>
      <c r="C13" s="25">
        <v>0.12</v>
      </c>
      <c r="D13" s="25">
        <v>0.13500000000000001</v>
      </c>
      <c r="E13" s="25">
        <v>0.15</v>
      </c>
      <c r="F13" s="25">
        <v>0.16</v>
      </c>
      <c r="G13" s="25">
        <v>0.16999999999999998</v>
      </c>
      <c r="H13" s="25">
        <v>0.18</v>
      </c>
      <c r="I13" s="25">
        <v>0.1875</v>
      </c>
      <c r="J13" s="25">
        <v>0.19500000000000001</v>
      </c>
      <c r="K13" s="25">
        <v>0.20250000000000001</v>
      </c>
      <c r="L13" s="25">
        <v>0.21</v>
      </c>
      <c r="M13" s="25">
        <v>0.23499999999999999</v>
      </c>
      <c r="N13" s="25">
        <v>0.26</v>
      </c>
    </row>
    <row r="14" spans="2:14" x14ac:dyDescent="0.25">
      <c r="B14" t="s">
        <v>204</v>
      </c>
      <c r="C14" s="25">
        <v>0.105</v>
      </c>
      <c r="D14" s="25">
        <v>0.11750000000000001</v>
      </c>
      <c r="E14" s="25">
        <v>0.13</v>
      </c>
      <c r="F14" s="25">
        <v>0.13833333333333334</v>
      </c>
      <c r="G14" s="25">
        <v>0.14666666666666667</v>
      </c>
      <c r="H14" s="25">
        <v>0.155</v>
      </c>
      <c r="I14" s="25">
        <v>0.16125</v>
      </c>
      <c r="J14" s="25">
        <v>0.16750000000000001</v>
      </c>
      <c r="K14" s="25">
        <v>0.17375000000000002</v>
      </c>
      <c r="L14" s="25">
        <v>0.18</v>
      </c>
      <c r="M14" s="25">
        <v>0.20499999999999999</v>
      </c>
      <c r="N14" s="25">
        <v>0.23</v>
      </c>
    </row>
    <row r="15" spans="2:14" x14ac:dyDescent="0.25">
      <c r="B15" t="s">
        <v>208</v>
      </c>
      <c r="C15" s="25">
        <v>0.09</v>
      </c>
      <c r="D15" s="25">
        <v>0.1</v>
      </c>
      <c r="E15" s="25">
        <v>0.11</v>
      </c>
      <c r="F15" s="25">
        <v>0.11666666666666667</v>
      </c>
      <c r="G15" s="25">
        <v>0.12333333333333334</v>
      </c>
      <c r="H15" s="25">
        <v>0.13</v>
      </c>
      <c r="I15" s="25">
        <v>0.13500000000000001</v>
      </c>
      <c r="J15" s="25">
        <v>0.14000000000000001</v>
      </c>
      <c r="K15" s="25">
        <v>0.14500000000000002</v>
      </c>
      <c r="L15" s="25">
        <v>0.15</v>
      </c>
      <c r="M15" s="25">
        <v>0.17499999999999999</v>
      </c>
      <c r="N15" s="25">
        <v>0.2</v>
      </c>
    </row>
    <row r="16" spans="2:14" x14ac:dyDescent="0.25">
      <c r="B16" t="s">
        <v>210</v>
      </c>
      <c r="C16" s="25">
        <v>7.4999999999999997E-2</v>
      </c>
      <c r="D16" s="25">
        <v>8.5000000000000006E-2</v>
      </c>
      <c r="E16" s="25">
        <v>9.5000000000000001E-2</v>
      </c>
      <c r="F16" s="25">
        <v>0.10083333333333333</v>
      </c>
      <c r="G16" s="25">
        <v>0.10666666666666666</v>
      </c>
      <c r="H16" s="25">
        <v>0.1125</v>
      </c>
      <c r="I16" s="25">
        <v>0.11687500000000001</v>
      </c>
      <c r="J16" s="25">
        <v>0.12125000000000001</v>
      </c>
      <c r="K16" s="25">
        <v>0.12562500000000001</v>
      </c>
      <c r="L16" s="25">
        <v>0.13</v>
      </c>
      <c r="M16" s="25">
        <v>0.155</v>
      </c>
      <c r="N16" s="25">
        <v>0.18</v>
      </c>
    </row>
    <row r="17" spans="2:14" x14ac:dyDescent="0.25">
      <c r="B17" t="s">
        <v>211</v>
      </c>
      <c r="C17" s="25">
        <v>0.06</v>
      </c>
      <c r="D17" s="25">
        <v>7.0000000000000007E-2</v>
      </c>
      <c r="E17" s="25">
        <v>0.08</v>
      </c>
      <c r="F17" s="25">
        <v>8.5000000000000006E-2</v>
      </c>
      <c r="G17" s="25">
        <v>0.09</v>
      </c>
      <c r="H17" s="25">
        <v>9.5000000000000001E-2</v>
      </c>
      <c r="I17" s="25">
        <v>9.8750000000000004E-2</v>
      </c>
      <c r="J17" s="25">
        <v>0.10250000000000001</v>
      </c>
      <c r="K17" s="25">
        <v>0.10625000000000001</v>
      </c>
      <c r="L17" s="25">
        <v>0.11</v>
      </c>
      <c r="M17" s="25">
        <v>0.13500000000000001</v>
      </c>
      <c r="N17" s="25">
        <v>0.16</v>
      </c>
    </row>
    <row r="18" spans="2:14" x14ac:dyDescent="0.25">
      <c r="B18" t="s">
        <v>213</v>
      </c>
      <c r="C18" s="25">
        <v>4.4999999999999998E-2</v>
      </c>
      <c r="D18" s="25">
        <v>5.5000000000000007E-2</v>
      </c>
      <c r="E18" s="25">
        <v>6.5000000000000002E-2</v>
      </c>
      <c r="F18" s="25">
        <v>7.0000000000000007E-2</v>
      </c>
      <c r="G18" s="25">
        <v>7.4999999999999997E-2</v>
      </c>
      <c r="H18" s="25">
        <v>0.08</v>
      </c>
      <c r="I18" s="25">
        <v>8.3750000000000005E-2</v>
      </c>
      <c r="J18" s="25">
        <v>8.7500000000000008E-2</v>
      </c>
      <c r="K18" s="25">
        <v>9.1250000000000012E-2</v>
      </c>
      <c r="L18" s="25">
        <v>9.5000000000000001E-2</v>
      </c>
      <c r="M18" s="25">
        <v>0.115</v>
      </c>
      <c r="N18" s="25">
        <v>0.13500000000000001</v>
      </c>
    </row>
    <row r="19" spans="2:14" x14ac:dyDescent="0.25">
      <c r="B19" t="s">
        <v>215</v>
      </c>
      <c r="C19" s="25">
        <v>0.03</v>
      </c>
      <c r="D19" s="25">
        <v>0.04</v>
      </c>
      <c r="E19" s="25">
        <v>0.05</v>
      </c>
      <c r="F19" s="25">
        <v>5.5E-2</v>
      </c>
      <c r="G19" s="25">
        <v>6.0000000000000005E-2</v>
      </c>
      <c r="H19" s="25">
        <v>6.5000000000000002E-2</v>
      </c>
      <c r="I19" s="25">
        <v>6.8750000000000006E-2</v>
      </c>
      <c r="J19" s="25">
        <v>7.2500000000000009E-2</v>
      </c>
      <c r="K19" s="25">
        <v>7.6250000000000012E-2</v>
      </c>
      <c r="L19" s="25">
        <v>0.08</v>
      </c>
      <c r="M19" s="25">
        <v>9.5000000000000001E-2</v>
      </c>
      <c r="N19" s="25">
        <v>0.11</v>
      </c>
    </row>
    <row r="20" spans="2:14" x14ac:dyDescent="0.25">
      <c r="B20" t="s">
        <v>217</v>
      </c>
      <c r="C20" s="25">
        <v>2.5000000000000001E-2</v>
      </c>
      <c r="D20" s="25">
        <v>3.2500000000000001E-2</v>
      </c>
      <c r="E20" s="25">
        <v>0.04</v>
      </c>
      <c r="F20" s="25">
        <v>4.4999999999999998E-2</v>
      </c>
      <c r="G20" s="25">
        <v>0.05</v>
      </c>
      <c r="H20" s="25">
        <v>5.5E-2</v>
      </c>
      <c r="I20" s="25">
        <v>5.8750000000000004E-2</v>
      </c>
      <c r="J20" s="25">
        <v>6.25E-2</v>
      </c>
      <c r="K20" s="25">
        <v>6.6250000000000003E-2</v>
      </c>
      <c r="L20" s="25">
        <v>7.0000000000000007E-2</v>
      </c>
      <c r="M20" s="25">
        <v>8.2500000000000004E-2</v>
      </c>
      <c r="N20" s="25">
        <v>9.5000000000000001E-2</v>
      </c>
    </row>
    <row r="21" spans="2:14" x14ac:dyDescent="0.25">
      <c r="B21" t="s">
        <v>219</v>
      </c>
      <c r="C21" s="25">
        <v>0.02</v>
      </c>
      <c r="D21" s="25">
        <v>2.5000000000000001E-2</v>
      </c>
      <c r="E21" s="25">
        <v>0.03</v>
      </c>
      <c r="F21" s="25">
        <v>3.4999999999999996E-2</v>
      </c>
      <c r="G21" s="25">
        <v>0.04</v>
      </c>
      <c r="H21" s="25">
        <v>4.4999999999999998E-2</v>
      </c>
      <c r="I21" s="25">
        <v>4.8750000000000002E-2</v>
      </c>
      <c r="J21" s="25">
        <v>5.2499999999999998E-2</v>
      </c>
      <c r="K21" s="25">
        <v>5.6249999999999994E-2</v>
      </c>
      <c r="L21" s="25">
        <v>0.06</v>
      </c>
      <c r="M21" s="25">
        <v>7.0000000000000007E-2</v>
      </c>
      <c r="N21" s="25">
        <v>0.08</v>
      </c>
    </row>
    <row r="22" spans="2:14" x14ac:dyDescent="0.25">
      <c r="B22" t="s">
        <v>221</v>
      </c>
      <c r="C22" s="25">
        <v>0.02</v>
      </c>
      <c r="D22" s="25">
        <v>2.5000000000000001E-2</v>
      </c>
      <c r="E22" s="25">
        <v>0.03</v>
      </c>
      <c r="F22" s="25">
        <v>3.3333333333333333E-2</v>
      </c>
      <c r="G22" s="25">
        <v>3.6666666666666667E-2</v>
      </c>
      <c r="H22" s="25">
        <v>0.04</v>
      </c>
      <c r="I22" s="25">
        <v>4.2500000000000003E-2</v>
      </c>
      <c r="J22" s="25">
        <v>4.4999999999999998E-2</v>
      </c>
      <c r="K22" s="25">
        <v>4.7500000000000001E-2</v>
      </c>
      <c r="L22" s="25">
        <v>0.05</v>
      </c>
      <c r="M22" s="25">
        <v>6.25E-2</v>
      </c>
      <c r="N22" s="25">
        <v>7.5000000000000011E-2</v>
      </c>
    </row>
    <row r="23" spans="2:14" x14ac:dyDescent="0.25">
      <c r="B23" t="s">
        <v>223</v>
      </c>
      <c r="C23" s="25">
        <v>0.02</v>
      </c>
      <c r="D23" s="25">
        <v>2.5000000000000001E-2</v>
      </c>
      <c r="E23" s="25">
        <v>0.03</v>
      </c>
      <c r="F23" s="25">
        <v>3.1666666666666669E-2</v>
      </c>
      <c r="G23" s="25">
        <v>3.3333333333333333E-2</v>
      </c>
      <c r="H23" s="25">
        <v>3.5000000000000003E-2</v>
      </c>
      <c r="I23" s="25">
        <v>3.6250000000000004E-2</v>
      </c>
      <c r="J23" s="25">
        <v>3.7500000000000006E-2</v>
      </c>
      <c r="K23" s="25">
        <v>3.8750000000000007E-2</v>
      </c>
      <c r="L23" s="25">
        <v>0.04</v>
      </c>
      <c r="M23" s="25">
        <v>5.5000000000000007E-2</v>
      </c>
      <c r="N23" s="25">
        <v>7.0000000000000007E-2</v>
      </c>
    </row>
    <row r="24" spans="2:14" x14ac:dyDescent="0.25">
      <c r="B24" t="s">
        <v>225</v>
      </c>
      <c r="C24" s="25">
        <v>1.4999999999999999E-2</v>
      </c>
      <c r="D24" s="25">
        <v>0.02</v>
      </c>
      <c r="E24" s="25">
        <v>2.5000000000000001E-2</v>
      </c>
      <c r="F24" s="25">
        <v>2.6666666666666668E-2</v>
      </c>
      <c r="G24" s="25">
        <v>2.8333333333333335E-2</v>
      </c>
      <c r="H24" s="25">
        <v>3.0000000000000002E-2</v>
      </c>
      <c r="I24" s="25">
        <v>3.125E-2</v>
      </c>
      <c r="J24" s="25">
        <v>3.2500000000000001E-2</v>
      </c>
      <c r="K24" s="25">
        <v>3.3750000000000002E-2</v>
      </c>
      <c r="L24" s="25">
        <v>3.5000000000000003E-2</v>
      </c>
      <c r="M24" s="25">
        <v>4.7500000000000001E-2</v>
      </c>
      <c r="N24" s="25">
        <v>6.0000000000000005E-2</v>
      </c>
    </row>
    <row r="25" spans="2:14" x14ac:dyDescent="0.25">
      <c r="B25" t="s">
        <v>227</v>
      </c>
      <c r="C25" s="25">
        <v>0.01</v>
      </c>
      <c r="D25" s="25">
        <v>1.4999999999999999E-2</v>
      </c>
      <c r="E25" s="25">
        <v>0.02</v>
      </c>
      <c r="F25" s="25">
        <v>2.1666666666666667E-2</v>
      </c>
      <c r="G25" s="25">
        <v>2.3333333333333334E-2</v>
      </c>
      <c r="H25" s="25">
        <v>2.5000000000000001E-2</v>
      </c>
      <c r="I25" s="25">
        <v>2.6250000000000002E-2</v>
      </c>
      <c r="J25" s="25">
        <v>2.75E-2</v>
      </c>
      <c r="K25" s="25">
        <v>2.8749999999999998E-2</v>
      </c>
      <c r="L25" s="25">
        <v>0.03</v>
      </c>
      <c r="M25" s="25">
        <v>0.04</v>
      </c>
      <c r="N25" s="25">
        <v>0.05</v>
      </c>
    </row>
    <row r="26" spans="2:14" x14ac:dyDescent="0.25">
      <c r="B26" t="s">
        <v>228</v>
      </c>
      <c r="C26" s="25">
        <v>0.01</v>
      </c>
      <c r="D26" s="25">
        <v>1.4999999999999999E-2</v>
      </c>
      <c r="E26" s="25">
        <v>0.02</v>
      </c>
      <c r="F26" s="25">
        <v>2.0833333333333336E-2</v>
      </c>
      <c r="G26" s="25">
        <v>2.1666666666666667E-2</v>
      </c>
      <c r="H26" s="25">
        <v>2.2499999999999999E-2</v>
      </c>
      <c r="I26" s="25">
        <v>2.3125E-2</v>
      </c>
      <c r="J26" s="25">
        <v>2.375E-2</v>
      </c>
      <c r="K26" s="25">
        <v>2.4375000000000001E-2</v>
      </c>
      <c r="L26" s="25">
        <v>2.5000000000000001E-2</v>
      </c>
      <c r="M26" s="25">
        <v>3.5000000000000003E-2</v>
      </c>
      <c r="N26" s="25">
        <v>4.4999999999999998E-2</v>
      </c>
    </row>
    <row r="27" spans="2:14" x14ac:dyDescent="0.25">
      <c r="B27" t="s">
        <v>230</v>
      </c>
      <c r="C27" s="25">
        <v>0.01</v>
      </c>
      <c r="D27" s="25">
        <v>1.4999999999999999E-2</v>
      </c>
      <c r="E27" s="25">
        <v>0.02</v>
      </c>
      <c r="F27" s="25">
        <v>0.02</v>
      </c>
      <c r="G27" s="25">
        <v>0.02</v>
      </c>
      <c r="H27" s="25">
        <v>0.02</v>
      </c>
      <c r="I27" s="25">
        <v>0.02</v>
      </c>
      <c r="J27" s="25">
        <v>0.02</v>
      </c>
      <c r="K27" s="25">
        <v>0.02</v>
      </c>
      <c r="L27" s="25">
        <v>0.02</v>
      </c>
      <c r="M27" s="25">
        <v>0.03</v>
      </c>
      <c r="N27" s="25">
        <v>0.04</v>
      </c>
    </row>
    <row r="28" spans="2:14" x14ac:dyDescent="0.25">
      <c r="B28" t="s">
        <v>232</v>
      </c>
      <c r="C28" s="25">
        <v>7.4999999999999997E-3</v>
      </c>
      <c r="D28" s="25">
        <v>1.375E-2</v>
      </c>
      <c r="E28" s="25">
        <v>0.02</v>
      </c>
      <c r="F28" s="25">
        <v>0.02</v>
      </c>
      <c r="G28" s="25">
        <v>0.02</v>
      </c>
      <c r="H28" s="25">
        <v>0.02</v>
      </c>
      <c r="I28" s="25">
        <v>0.02</v>
      </c>
      <c r="J28" s="25">
        <v>0.02</v>
      </c>
      <c r="K28" s="25">
        <v>0.02</v>
      </c>
      <c r="L28" s="25">
        <v>0.02</v>
      </c>
      <c r="M28" s="25">
        <v>2.75E-2</v>
      </c>
      <c r="N28" s="25">
        <v>3.5000000000000003E-2</v>
      </c>
    </row>
    <row r="29" spans="2:14" x14ac:dyDescent="0.25">
      <c r="B29" t="s">
        <v>234</v>
      </c>
      <c r="C29" s="25">
        <v>5.0000000000000001E-3</v>
      </c>
      <c r="D29" s="25">
        <v>1.2500000000000001E-2</v>
      </c>
      <c r="E29" s="25">
        <v>0.02</v>
      </c>
      <c r="F29" s="25">
        <v>0.02</v>
      </c>
      <c r="G29" s="25">
        <v>0.02</v>
      </c>
      <c r="H29" s="25">
        <v>0.02</v>
      </c>
      <c r="I29" s="25">
        <v>0.02</v>
      </c>
      <c r="J29" s="25">
        <v>0.02</v>
      </c>
      <c r="K29" s="25">
        <v>0.02</v>
      </c>
      <c r="L29" s="25">
        <v>0.02</v>
      </c>
      <c r="M29" s="25">
        <v>2.5000000000000001E-2</v>
      </c>
      <c r="N29" s="25">
        <v>0.03</v>
      </c>
    </row>
    <row r="31" spans="2:14" x14ac:dyDescent="0.25">
      <c r="B31" t="s">
        <v>358</v>
      </c>
    </row>
    <row r="32" spans="2:14" x14ac:dyDescent="0.25">
      <c r="C32" t="s">
        <v>175</v>
      </c>
      <c r="D32" t="s">
        <v>180</v>
      </c>
      <c r="E32" t="s">
        <v>184</v>
      </c>
      <c r="F32" t="s">
        <v>179</v>
      </c>
      <c r="G32" t="s">
        <v>16</v>
      </c>
      <c r="H32" t="s">
        <v>187</v>
      </c>
      <c r="I32" t="s">
        <v>189</v>
      </c>
      <c r="J32" t="s">
        <v>190</v>
      </c>
      <c r="K32" t="s">
        <v>192</v>
      </c>
      <c r="L32" t="s">
        <v>195</v>
      </c>
      <c r="M32" t="s">
        <v>197</v>
      </c>
      <c r="N32" t="s">
        <v>206</v>
      </c>
    </row>
    <row r="33" spans="2:14" x14ac:dyDescent="0.25">
      <c r="B33" t="s">
        <v>177</v>
      </c>
      <c r="C33" s="25">
        <v>0.9</v>
      </c>
      <c r="D33" s="25">
        <v>0.91</v>
      </c>
      <c r="E33" s="25">
        <v>0.91133333333333333</v>
      </c>
      <c r="F33" s="25">
        <v>0.91266666666666674</v>
      </c>
      <c r="G33" s="25">
        <v>0.91400000000000003</v>
      </c>
      <c r="H33" s="25">
        <v>0.91533333333333333</v>
      </c>
      <c r="I33" s="25">
        <v>0.91666666666666674</v>
      </c>
      <c r="J33" s="25">
        <v>0.91800000000000004</v>
      </c>
      <c r="K33" s="25">
        <v>0.91933333333333334</v>
      </c>
      <c r="L33" s="25">
        <v>0.92</v>
      </c>
      <c r="M33" s="25">
        <v>0.92333333333333334</v>
      </c>
      <c r="N33" s="25">
        <v>0.93</v>
      </c>
    </row>
    <row r="34" spans="2:14" x14ac:dyDescent="0.25">
      <c r="B34" t="s">
        <v>183</v>
      </c>
      <c r="C34" s="25">
        <v>0.78</v>
      </c>
      <c r="D34" s="25">
        <v>0.8</v>
      </c>
      <c r="E34" s="25">
        <v>0.80400000000000005</v>
      </c>
      <c r="F34" s="25">
        <v>0.80800000000000005</v>
      </c>
      <c r="G34" s="25">
        <v>0.81200000000000006</v>
      </c>
      <c r="H34" s="25">
        <v>0.81599999999999995</v>
      </c>
      <c r="I34" s="25">
        <v>0.82</v>
      </c>
      <c r="J34" s="25">
        <v>0.82399999999999995</v>
      </c>
      <c r="K34" s="25">
        <v>0.82799999999999996</v>
      </c>
      <c r="L34" s="25">
        <v>0.83</v>
      </c>
      <c r="M34" s="25">
        <v>0.83666666666666667</v>
      </c>
      <c r="N34" s="25">
        <v>0.85</v>
      </c>
    </row>
    <row r="35" spans="2:14" x14ac:dyDescent="0.25">
      <c r="B35" t="s">
        <v>186</v>
      </c>
      <c r="C35" s="25">
        <v>0.69</v>
      </c>
      <c r="D35" s="25">
        <v>0.72500000000000009</v>
      </c>
      <c r="E35" s="25">
        <v>0.72966666666666669</v>
      </c>
      <c r="F35" s="25">
        <v>0.73433333333333328</v>
      </c>
      <c r="G35" s="25">
        <v>0.7390000000000001</v>
      </c>
      <c r="H35" s="25">
        <v>0.7436666666666667</v>
      </c>
      <c r="I35" s="25">
        <v>0.74833333333333329</v>
      </c>
      <c r="J35" s="25">
        <v>0.75299999999999989</v>
      </c>
      <c r="K35" s="25">
        <v>0.7576666666666666</v>
      </c>
      <c r="L35" s="25">
        <v>0.76</v>
      </c>
      <c r="M35" s="25">
        <v>0.76833333333333331</v>
      </c>
      <c r="N35" s="25">
        <v>0.78499999999999992</v>
      </c>
    </row>
    <row r="36" spans="2:14" x14ac:dyDescent="0.25">
      <c r="B36" t="s">
        <v>24</v>
      </c>
      <c r="C36" s="25">
        <v>0.6</v>
      </c>
      <c r="D36" s="25">
        <v>0.65</v>
      </c>
      <c r="E36" s="25">
        <v>0.65533333333333332</v>
      </c>
      <c r="F36" s="25">
        <v>0.66066666666666662</v>
      </c>
      <c r="G36" s="25">
        <v>0.66600000000000004</v>
      </c>
      <c r="H36" s="25">
        <v>0.67133333333333334</v>
      </c>
      <c r="I36" s="25">
        <v>0.67666666666666664</v>
      </c>
      <c r="J36" s="25">
        <v>0.68199999999999994</v>
      </c>
      <c r="K36" s="25">
        <v>0.68733333333333324</v>
      </c>
      <c r="L36" s="25">
        <v>0.69</v>
      </c>
      <c r="M36" s="25">
        <v>0.7</v>
      </c>
      <c r="N36" s="25">
        <v>0.72</v>
      </c>
    </row>
    <row r="37" spans="2:14" x14ac:dyDescent="0.25">
      <c r="B37" t="s">
        <v>31</v>
      </c>
      <c r="C37" s="25">
        <v>0.54</v>
      </c>
      <c r="D37" s="25">
        <v>0.58000000000000007</v>
      </c>
      <c r="E37" s="25">
        <v>0.58666666666666667</v>
      </c>
      <c r="F37" s="25">
        <v>0.59333333333333327</v>
      </c>
      <c r="G37" s="25">
        <v>0.60000000000000009</v>
      </c>
      <c r="H37" s="25">
        <v>0.60666666666666669</v>
      </c>
      <c r="I37" s="25">
        <v>0.61333333333333329</v>
      </c>
      <c r="J37" s="25">
        <v>0.61999999999999988</v>
      </c>
      <c r="K37" s="25">
        <v>0.62666666666666659</v>
      </c>
      <c r="L37" s="25">
        <v>0.62999999999999989</v>
      </c>
      <c r="M37" s="25">
        <v>0.64166666666666661</v>
      </c>
      <c r="N37" s="25">
        <v>0.66500000000000004</v>
      </c>
    </row>
    <row r="38" spans="2:14" x14ac:dyDescent="0.25">
      <c r="B38" t="s">
        <v>191</v>
      </c>
      <c r="C38" s="25">
        <v>0.48</v>
      </c>
      <c r="D38" s="25">
        <v>0.51</v>
      </c>
      <c r="E38" s="25">
        <v>0.51800000000000002</v>
      </c>
      <c r="F38" s="25">
        <v>0.52600000000000002</v>
      </c>
      <c r="G38" s="25">
        <v>0.53400000000000003</v>
      </c>
      <c r="H38" s="25">
        <v>0.54199999999999993</v>
      </c>
      <c r="I38" s="25">
        <v>0.54999999999999993</v>
      </c>
      <c r="J38" s="25">
        <v>0.55799999999999994</v>
      </c>
      <c r="K38" s="25">
        <v>0.56599999999999995</v>
      </c>
      <c r="L38" s="25">
        <v>0.56999999999999995</v>
      </c>
      <c r="M38" s="25">
        <v>0.58333333333333326</v>
      </c>
      <c r="N38" s="25">
        <v>0.61</v>
      </c>
    </row>
    <row r="39" spans="2:14" x14ac:dyDescent="0.25">
      <c r="B39" t="s">
        <v>194</v>
      </c>
      <c r="C39" s="25">
        <v>0.43</v>
      </c>
      <c r="D39" s="25">
        <v>0.45999999999999996</v>
      </c>
      <c r="E39" s="25">
        <v>0.46866666666666668</v>
      </c>
      <c r="F39" s="25">
        <v>0.47733333333333333</v>
      </c>
      <c r="G39" s="25">
        <v>0.48599999999999999</v>
      </c>
      <c r="H39" s="25">
        <v>0.49466666666666659</v>
      </c>
      <c r="I39" s="25">
        <v>0.5033333333333333</v>
      </c>
      <c r="J39" s="25">
        <v>0.51200000000000001</v>
      </c>
      <c r="K39" s="25">
        <v>0.52066666666666661</v>
      </c>
      <c r="L39" s="25">
        <v>0.52499999999999991</v>
      </c>
      <c r="M39" s="25">
        <v>0.53833333333333333</v>
      </c>
      <c r="N39" s="25">
        <v>0.56499999999999995</v>
      </c>
    </row>
    <row r="40" spans="2:14" x14ac:dyDescent="0.25">
      <c r="B40" t="s">
        <v>196</v>
      </c>
      <c r="C40" s="25">
        <v>0.38</v>
      </c>
      <c r="D40" s="25">
        <v>0.41</v>
      </c>
      <c r="E40" s="25">
        <v>0.41933333333333334</v>
      </c>
      <c r="F40" s="25">
        <v>0.42866666666666664</v>
      </c>
      <c r="G40" s="25">
        <v>0.438</v>
      </c>
      <c r="H40" s="25">
        <v>0.44733333333333331</v>
      </c>
      <c r="I40" s="25">
        <v>0.45666666666666667</v>
      </c>
      <c r="J40" s="25">
        <v>0.46599999999999997</v>
      </c>
      <c r="K40" s="25">
        <v>0.47533333333333333</v>
      </c>
      <c r="L40" s="25">
        <v>0.48</v>
      </c>
      <c r="M40" s="25">
        <v>0.49333333333333335</v>
      </c>
      <c r="N40" s="25">
        <v>0.52</v>
      </c>
    </row>
    <row r="41" spans="2:14" x14ac:dyDescent="0.25">
      <c r="B41" t="s">
        <v>198</v>
      </c>
      <c r="C41" s="25">
        <v>0.33499999999999996</v>
      </c>
      <c r="D41" s="25">
        <v>0.37</v>
      </c>
      <c r="E41" s="25">
        <v>0.37866666666666671</v>
      </c>
      <c r="F41" s="25">
        <v>0.38733333333333331</v>
      </c>
      <c r="G41" s="25">
        <v>0.39600000000000002</v>
      </c>
      <c r="H41" s="25">
        <v>0.40466666666666662</v>
      </c>
      <c r="I41" s="25">
        <v>0.41333333333333333</v>
      </c>
      <c r="J41" s="25">
        <v>0.42199999999999999</v>
      </c>
      <c r="K41" s="25">
        <v>0.43066666666666664</v>
      </c>
      <c r="L41" s="25">
        <v>0.435</v>
      </c>
      <c r="M41" s="25">
        <v>0.45</v>
      </c>
      <c r="N41" s="25">
        <v>0.48</v>
      </c>
    </row>
    <row r="42" spans="2:14" x14ac:dyDescent="0.25">
      <c r="B42" t="s">
        <v>201</v>
      </c>
      <c r="C42" s="25">
        <v>0.28999999999999998</v>
      </c>
      <c r="D42" s="25">
        <v>0.33</v>
      </c>
      <c r="E42" s="25">
        <v>0.33800000000000002</v>
      </c>
      <c r="F42" s="25">
        <v>0.34600000000000003</v>
      </c>
      <c r="G42" s="25">
        <v>0.35400000000000004</v>
      </c>
      <c r="H42" s="25">
        <v>0.36199999999999999</v>
      </c>
      <c r="I42" s="25">
        <v>0.37</v>
      </c>
      <c r="J42" s="25">
        <v>0.378</v>
      </c>
      <c r="K42" s="25">
        <v>0.38600000000000001</v>
      </c>
      <c r="L42" s="25">
        <v>0.39</v>
      </c>
      <c r="M42" s="25">
        <v>0.40666666666666668</v>
      </c>
      <c r="N42" s="25">
        <v>0.44</v>
      </c>
    </row>
    <row r="43" spans="2:14" x14ac:dyDescent="0.25">
      <c r="B43" t="s">
        <v>204</v>
      </c>
      <c r="C43" s="25">
        <v>0.26</v>
      </c>
      <c r="D43" s="25">
        <v>0.30000000000000004</v>
      </c>
      <c r="E43" s="25">
        <v>0.30733333333333335</v>
      </c>
      <c r="F43" s="25">
        <v>0.31466666666666665</v>
      </c>
      <c r="G43" s="25">
        <v>0.32200000000000006</v>
      </c>
      <c r="H43" s="25">
        <v>0.32933333333333337</v>
      </c>
      <c r="I43" s="25">
        <v>0.33666666666666667</v>
      </c>
      <c r="J43" s="25">
        <v>0.34399999999999997</v>
      </c>
      <c r="K43" s="25">
        <v>0.35133333333333333</v>
      </c>
      <c r="L43" s="25">
        <v>0.35499999999999998</v>
      </c>
      <c r="M43" s="25">
        <v>0.37333333333333335</v>
      </c>
      <c r="N43" s="25">
        <v>0.41000000000000003</v>
      </c>
    </row>
    <row r="44" spans="2:14" x14ac:dyDescent="0.25">
      <c r="B44" t="s">
        <v>208</v>
      </c>
      <c r="C44" s="25">
        <v>0.23</v>
      </c>
      <c r="D44" s="25">
        <v>0.27</v>
      </c>
      <c r="E44" s="25">
        <v>0.27666666666666667</v>
      </c>
      <c r="F44" s="25">
        <v>0.28333333333333333</v>
      </c>
      <c r="G44" s="25">
        <v>0.29000000000000004</v>
      </c>
      <c r="H44" s="25">
        <v>0.29666666666666669</v>
      </c>
      <c r="I44" s="25">
        <v>0.30333333333333334</v>
      </c>
      <c r="J44" s="25">
        <v>0.31</v>
      </c>
      <c r="K44" s="25">
        <v>0.31666666666666665</v>
      </c>
      <c r="L44" s="25">
        <v>0.32</v>
      </c>
      <c r="M44" s="25">
        <v>0.34</v>
      </c>
      <c r="N44" s="25">
        <v>0.38</v>
      </c>
    </row>
    <row r="45" spans="2:14" x14ac:dyDescent="0.25">
      <c r="B45" t="s">
        <v>210</v>
      </c>
      <c r="C45" s="25">
        <v>0.20500000000000002</v>
      </c>
      <c r="D45" s="25">
        <v>0.24</v>
      </c>
      <c r="E45" s="25">
        <v>0.24733333333333335</v>
      </c>
      <c r="F45" s="25">
        <v>0.25466666666666665</v>
      </c>
      <c r="G45" s="25">
        <v>0.26200000000000001</v>
      </c>
      <c r="H45" s="25">
        <v>0.26933333333333331</v>
      </c>
      <c r="I45" s="25">
        <v>0.27666666666666667</v>
      </c>
      <c r="J45" s="25">
        <v>0.28400000000000003</v>
      </c>
      <c r="K45" s="25">
        <v>0.29133333333333333</v>
      </c>
      <c r="L45" s="25">
        <v>0.29500000000000004</v>
      </c>
      <c r="M45" s="25">
        <v>0.31333333333333335</v>
      </c>
      <c r="N45" s="25">
        <v>0.35</v>
      </c>
    </row>
    <row r="46" spans="2:14" x14ac:dyDescent="0.25">
      <c r="B46" t="s">
        <v>211</v>
      </c>
      <c r="C46" s="25">
        <v>0.18</v>
      </c>
      <c r="D46" s="25">
        <v>0.21</v>
      </c>
      <c r="E46" s="25">
        <v>0.218</v>
      </c>
      <c r="F46" s="25">
        <v>0.22600000000000001</v>
      </c>
      <c r="G46" s="25">
        <v>0.23400000000000001</v>
      </c>
      <c r="H46" s="25">
        <v>0.24199999999999999</v>
      </c>
      <c r="I46" s="25">
        <v>0.25</v>
      </c>
      <c r="J46" s="25">
        <v>0.25800000000000001</v>
      </c>
      <c r="K46" s="25">
        <v>0.26600000000000001</v>
      </c>
      <c r="L46" s="25">
        <v>0.27</v>
      </c>
      <c r="M46" s="25">
        <v>0.28666666666666668</v>
      </c>
      <c r="N46" s="25">
        <v>0.32</v>
      </c>
    </row>
    <row r="47" spans="2:14" x14ac:dyDescent="0.25">
      <c r="B47" t="s">
        <v>213</v>
      </c>
      <c r="C47" s="25">
        <v>0.155</v>
      </c>
      <c r="D47" s="25">
        <v>0.19500000000000001</v>
      </c>
      <c r="E47" s="25">
        <v>0.20166666666666666</v>
      </c>
      <c r="F47" s="25">
        <v>0.20833333333333331</v>
      </c>
      <c r="G47" s="25">
        <v>0.21500000000000002</v>
      </c>
      <c r="H47" s="25">
        <v>0.22166666666666668</v>
      </c>
      <c r="I47" s="25">
        <v>0.22833333333333333</v>
      </c>
      <c r="J47" s="25">
        <v>0.23499999999999999</v>
      </c>
      <c r="K47" s="25">
        <v>0.24166666666666667</v>
      </c>
      <c r="L47" s="25">
        <v>0.245</v>
      </c>
      <c r="M47" s="25">
        <v>0.26166666666666666</v>
      </c>
      <c r="N47" s="25">
        <v>0.29500000000000004</v>
      </c>
    </row>
    <row r="48" spans="2:14" x14ac:dyDescent="0.25">
      <c r="B48" t="s">
        <v>215</v>
      </c>
      <c r="C48" s="25">
        <v>0.13</v>
      </c>
      <c r="D48" s="25">
        <v>0.18</v>
      </c>
      <c r="E48" s="25">
        <v>0.18533333333333332</v>
      </c>
      <c r="F48" s="25">
        <v>0.19066666666666665</v>
      </c>
      <c r="G48" s="25">
        <v>0.19600000000000001</v>
      </c>
      <c r="H48" s="25">
        <v>0.20133333333333334</v>
      </c>
      <c r="I48" s="25">
        <v>0.20666666666666667</v>
      </c>
      <c r="J48" s="25">
        <v>0.21199999999999999</v>
      </c>
      <c r="K48" s="25">
        <v>0.21733333333333332</v>
      </c>
      <c r="L48" s="25">
        <v>0.22</v>
      </c>
      <c r="M48" s="25">
        <v>0.23666666666666666</v>
      </c>
      <c r="N48" s="25">
        <v>0.27</v>
      </c>
    </row>
    <row r="49" spans="2:14" x14ac:dyDescent="0.25">
      <c r="B49" t="s">
        <v>217</v>
      </c>
      <c r="C49" s="25">
        <v>0.12</v>
      </c>
      <c r="D49" s="25">
        <v>0.155</v>
      </c>
      <c r="E49" s="25">
        <v>0.16099999999999998</v>
      </c>
      <c r="F49" s="25">
        <v>0.16699999999999998</v>
      </c>
      <c r="G49" s="25">
        <v>0.17299999999999999</v>
      </c>
      <c r="H49" s="25">
        <v>0.17899999999999999</v>
      </c>
      <c r="I49" s="25">
        <v>0.185</v>
      </c>
      <c r="J49" s="25">
        <v>0.191</v>
      </c>
      <c r="K49" s="25">
        <v>0.19700000000000001</v>
      </c>
      <c r="L49" s="25">
        <v>0.2</v>
      </c>
      <c r="M49" s="25">
        <v>0.21666666666666667</v>
      </c>
      <c r="N49" s="25">
        <v>0.25</v>
      </c>
    </row>
    <row r="50" spans="2:14" x14ac:dyDescent="0.25">
      <c r="B50" t="s">
        <v>219</v>
      </c>
      <c r="C50" s="25">
        <v>0.11</v>
      </c>
      <c r="D50" s="25">
        <v>0.13</v>
      </c>
      <c r="E50" s="25">
        <v>0.13666666666666666</v>
      </c>
      <c r="F50" s="25">
        <v>0.14333333333333334</v>
      </c>
      <c r="G50" s="25">
        <v>0.15</v>
      </c>
      <c r="H50" s="25">
        <v>0.15666666666666668</v>
      </c>
      <c r="I50" s="25">
        <v>0.16333333333333333</v>
      </c>
      <c r="J50" s="25">
        <v>0.16999999999999998</v>
      </c>
      <c r="K50" s="25">
        <v>0.17666666666666667</v>
      </c>
      <c r="L50" s="25">
        <v>0.18</v>
      </c>
      <c r="M50" s="25">
        <v>0.19666666666666666</v>
      </c>
      <c r="N50" s="25">
        <v>0.23</v>
      </c>
    </row>
    <row r="51" spans="2:14" x14ac:dyDescent="0.25">
      <c r="B51" t="s">
        <v>221</v>
      </c>
      <c r="C51" s="25">
        <v>9.5000000000000001E-2</v>
      </c>
      <c r="D51" s="25">
        <v>0.12</v>
      </c>
      <c r="E51" s="25">
        <v>0.126</v>
      </c>
      <c r="F51" s="25">
        <v>0.13200000000000001</v>
      </c>
      <c r="G51" s="25">
        <v>0.13800000000000001</v>
      </c>
      <c r="H51" s="25">
        <v>0.14400000000000002</v>
      </c>
      <c r="I51" s="25">
        <v>0.15</v>
      </c>
      <c r="J51" s="25">
        <v>0.15599999999999997</v>
      </c>
      <c r="K51" s="25">
        <v>0.16199999999999998</v>
      </c>
      <c r="L51" s="25">
        <v>0.16499999999999998</v>
      </c>
      <c r="M51" s="25">
        <v>0.18</v>
      </c>
      <c r="N51" s="25">
        <v>0.21000000000000002</v>
      </c>
    </row>
    <row r="52" spans="2:14" x14ac:dyDescent="0.25">
      <c r="B52" t="s">
        <v>223</v>
      </c>
      <c r="C52" s="25">
        <v>0.08</v>
      </c>
      <c r="D52" s="25">
        <v>0.11</v>
      </c>
      <c r="E52" s="25">
        <v>0.11533333333333333</v>
      </c>
      <c r="F52" s="25">
        <v>0.12066666666666667</v>
      </c>
      <c r="G52" s="25">
        <v>0.126</v>
      </c>
      <c r="H52" s="25">
        <v>0.13133333333333333</v>
      </c>
      <c r="I52" s="25">
        <v>0.13666666666666666</v>
      </c>
      <c r="J52" s="25">
        <v>0.14199999999999999</v>
      </c>
      <c r="K52" s="25">
        <v>0.14733333333333332</v>
      </c>
      <c r="L52" s="25">
        <v>0.15</v>
      </c>
      <c r="M52" s="25">
        <v>0.16333333333333333</v>
      </c>
      <c r="N52" s="25">
        <v>0.19</v>
      </c>
    </row>
    <row r="53" spans="2:14" x14ac:dyDescent="0.25">
      <c r="B53" t="s">
        <v>225</v>
      </c>
      <c r="C53" s="25">
        <v>7.0000000000000007E-2</v>
      </c>
      <c r="D53" s="25">
        <v>0.1</v>
      </c>
      <c r="E53" s="25">
        <v>0.10466666666666666</v>
      </c>
      <c r="F53" s="25">
        <v>0.10933333333333334</v>
      </c>
      <c r="G53" s="25">
        <v>0.11399999999999999</v>
      </c>
      <c r="H53" s="25">
        <v>0.11866666666666667</v>
      </c>
      <c r="I53" s="25">
        <v>0.12333333333333332</v>
      </c>
      <c r="J53" s="25">
        <v>0.128</v>
      </c>
      <c r="K53" s="25">
        <v>0.13266666666666665</v>
      </c>
      <c r="L53" s="25">
        <v>0.13500000000000001</v>
      </c>
      <c r="M53" s="25">
        <v>0.15</v>
      </c>
      <c r="N53" s="25">
        <v>0.18</v>
      </c>
    </row>
    <row r="54" spans="2:14" x14ac:dyDescent="0.25">
      <c r="B54" t="s">
        <v>227</v>
      </c>
      <c r="C54" s="25">
        <v>0.06</v>
      </c>
      <c r="D54" s="25">
        <v>0.09</v>
      </c>
      <c r="E54" s="25">
        <v>9.4E-2</v>
      </c>
      <c r="F54" s="25">
        <v>9.8000000000000004E-2</v>
      </c>
      <c r="G54" s="25">
        <v>0.10199999999999999</v>
      </c>
      <c r="H54" s="25">
        <v>0.106</v>
      </c>
      <c r="I54" s="25">
        <v>0.11</v>
      </c>
      <c r="J54" s="25">
        <v>0.11399999999999999</v>
      </c>
      <c r="K54" s="25">
        <v>0.11799999999999999</v>
      </c>
      <c r="L54" s="25">
        <v>0.12</v>
      </c>
      <c r="M54" s="25">
        <v>0.13666666666666666</v>
      </c>
      <c r="N54" s="25">
        <v>0.17</v>
      </c>
    </row>
    <row r="55" spans="2:14" x14ac:dyDescent="0.25">
      <c r="B55" t="s">
        <v>228</v>
      </c>
      <c r="C55" s="25">
        <v>5.5E-2</v>
      </c>
      <c r="D55" s="25">
        <v>0.08</v>
      </c>
      <c r="E55" s="25">
        <v>8.4000000000000005E-2</v>
      </c>
      <c r="F55" s="25">
        <v>8.8000000000000009E-2</v>
      </c>
      <c r="G55" s="25">
        <v>9.1999999999999998E-2</v>
      </c>
      <c r="H55" s="25">
        <v>9.6000000000000002E-2</v>
      </c>
      <c r="I55" s="25">
        <v>0.1</v>
      </c>
      <c r="J55" s="25">
        <v>0.104</v>
      </c>
      <c r="K55" s="25">
        <v>0.108</v>
      </c>
      <c r="L55" s="25">
        <v>0.11</v>
      </c>
      <c r="M55" s="25">
        <v>0.125</v>
      </c>
      <c r="N55" s="25">
        <v>0.15500000000000003</v>
      </c>
    </row>
    <row r="56" spans="2:14" x14ac:dyDescent="0.25">
      <c r="B56" t="s">
        <v>230</v>
      </c>
      <c r="C56" s="25">
        <v>0.05</v>
      </c>
      <c r="D56" s="25">
        <v>7.0000000000000007E-2</v>
      </c>
      <c r="E56" s="25">
        <v>7.400000000000001E-2</v>
      </c>
      <c r="F56" s="25">
        <v>7.8000000000000014E-2</v>
      </c>
      <c r="G56" s="25">
        <v>8.2000000000000003E-2</v>
      </c>
      <c r="H56" s="25">
        <v>8.6000000000000007E-2</v>
      </c>
      <c r="I56" s="25">
        <v>9.0000000000000011E-2</v>
      </c>
      <c r="J56" s="25">
        <v>9.4E-2</v>
      </c>
      <c r="K56" s="25">
        <v>9.8000000000000004E-2</v>
      </c>
      <c r="L56" s="25">
        <v>0.1</v>
      </c>
      <c r="M56" s="25">
        <v>0.11333333333333334</v>
      </c>
      <c r="N56" s="25">
        <v>0.14000000000000001</v>
      </c>
    </row>
    <row r="57" spans="2:14" x14ac:dyDescent="0.25">
      <c r="B57" t="s">
        <v>232</v>
      </c>
      <c r="C57" s="25">
        <v>4.4999999999999998E-2</v>
      </c>
      <c r="D57" s="25">
        <v>6.0000000000000005E-2</v>
      </c>
      <c r="E57" s="25">
        <v>6.4000000000000001E-2</v>
      </c>
      <c r="F57" s="25">
        <v>6.8000000000000005E-2</v>
      </c>
      <c r="G57" s="25">
        <v>7.2000000000000008E-2</v>
      </c>
      <c r="H57" s="25">
        <v>7.6000000000000012E-2</v>
      </c>
      <c r="I57" s="25">
        <v>8.0000000000000016E-2</v>
      </c>
      <c r="J57" s="25">
        <v>8.4000000000000005E-2</v>
      </c>
      <c r="K57" s="25">
        <v>8.7999999999999995E-2</v>
      </c>
      <c r="L57" s="25">
        <v>0.09</v>
      </c>
      <c r="M57" s="25">
        <v>0.10333333333333333</v>
      </c>
      <c r="N57" s="25">
        <v>0.13</v>
      </c>
    </row>
    <row r="58" spans="2:14" x14ac:dyDescent="0.25">
      <c r="B58" t="s">
        <v>234</v>
      </c>
      <c r="C58" s="25">
        <v>0.04</v>
      </c>
      <c r="D58" s="25">
        <v>0.05</v>
      </c>
      <c r="E58" s="25">
        <v>5.4000000000000006E-2</v>
      </c>
      <c r="F58" s="25">
        <v>5.8000000000000003E-2</v>
      </c>
      <c r="G58" s="25">
        <v>6.2E-2</v>
      </c>
      <c r="H58" s="25">
        <v>6.6000000000000003E-2</v>
      </c>
      <c r="I58" s="25">
        <v>7.0000000000000007E-2</v>
      </c>
      <c r="J58" s="25">
        <v>7.400000000000001E-2</v>
      </c>
      <c r="K58" s="25">
        <v>7.8E-2</v>
      </c>
      <c r="L58" s="25">
        <v>0.08</v>
      </c>
      <c r="M58" s="25">
        <v>9.3333333333333338E-2</v>
      </c>
      <c r="N58" s="25">
        <v>0.12</v>
      </c>
    </row>
    <row r="60" spans="2:14" x14ac:dyDescent="0.25">
      <c r="B60" t="s">
        <v>359</v>
      </c>
    </row>
    <row r="61" spans="2:14" x14ac:dyDescent="0.25">
      <c r="C61" t="s">
        <v>175</v>
      </c>
      <c r="D61" t="s">
        <v>180</v>
      </c>
      <c r="E61" t="s">
        <v>184</v>
      </c>
      <c r="F61" t="s">
        <v>179</v>
      </c>
      <c r="G61" t="s">
        <v>16</v>
      </c>
      <c r="H61" t="s">
        <v>187</v>
      </c>
      <c r="I61" t="s">
        <v>189</v>
      </c>
      <c r="J61" t="s">
        <v>190</v>
      </c>
      <c r="K61" t="s">
        <v>192</v>
      </c>
      <c r="L61" t="s">
        <v>195</v>
      </c>
      <c r="M61" t="s">
        <v>197</v>
      </c>
      <c r="N61" t="s">
        <v>206</v>
      </c>
    </row>
    <row r="62" spans="2:14" x14ac:dyDescent="0.25">
      <c r="B62" t="s">
        <v>177</v>
      </c>
      <c r="C62" s="25">
        <v>0.92</v>
      </c>
      <c r="D62" s="25">
        <v>0.93</v>
      </c>
      <c r="E62" s="25">
        <v>0.93</v>
      </c>
      <c r="F62" s="25">
        <v>0.93</v>
      </c>
      <c r="G62" s="25">
        <v>0.93</v>
      </c>
      <c r="H62" s="25">
        <v>0.93</v>
      </c>
      <c r="I62" s="25">
        <v>0.93</v>
      </c>
      <c r="J62" s="25">
        <v>0.93800000000000006</v>
      </c>
      <c r="K62" s="25">
        <v>0.94599999999999995</v>
      </c>
      <c r="L62" s="25">
        <v>0.95</v>
      </c>
      <c r="M62" s="25">
        <v>0.95</v>
      </c>
      <c r="N62" s="25">
        <v>0.95</v>
      </c>
    </row>
    <row r="63" spans="2:14" x14ac:dyDescent="0.25">
      <c r="B63" t="s">
        <v>183</v>
      </c>
      <c r="C63" s="25">
        <v>0.84</v>
      </c>
      <c r="D63" s="25">
        <v>0.85</v>
      </c>
      <c r="E63" s="25">
        <v>0.85599999999999998</v>
      </c>
      <c r="F63" s="25">
        <v>0.86199999999999999</v>
      </c>
      <c r="G63" s="25">
        <v>0.86799999999999999</v>
      </c>
      <c r="H63" s="25">
        <v>0.874</v>
      </c>
      <c r="I63" s="25">
        <v>0.88</v>
      </c>
      <c r="J63" s="25">
        <v>0.88800000000000001</v>
      </c>
      <c r="K63" s="25">
        <v>0.89600000000000002</v>
      </c>
      <c r="L63" s="25">
        <v>0.9</v>
      </c>
      <c r="M63" s="25">
        <v>0.9</v>
      </c>
      <c r="N63" s="25">
        <v>0.9</v>
      </c>
    </row>
    <row r="64" spans="2:14" x14ac:dyDescent="0.25">
      <c r="B64" t="s">
        <v>186</v>
      </c>
      <c r="C64" s="25">
        <v>0.78</v>
      </c>
      <c r="D64" s="25">
        <v>0.79499999999999993</v>
      </c>
      <c r="E64" s="25">
        <v>0.80200000000000005</v>
      </c>
      <c r="F64" s="25">
        <v>0.80899999999999994</v>
      </c>
      <c r="G64" s="25">
        <v>0.81600000000000006</v>
      </c>
      <c r="H64" s="25">
        <v>0.82299999999999995</v>
      </c>
      <c r="I64" s="25">
        <v>0.83000000000000007</v>
      </c>
      <c r="J64" s="25">
        <v>0.83800000000000008</v>
      </c>
      <c r="K64" s="25">
        <v>0.84600000000000009</v>
      </c>
      <c r="L64" s="25">
        <v>0.85000000000000009</v>
      </c>
      <c r="M64" s="25">
        <v>0.85000000000000009</v>
      </c>
      <c r="N64" s="25">
        <v>0.85000000000000009</v>
      </c>
    </row>
    <row r="65" spans="2:14" x14ac:dyDescent="0.25">
      <c r="B65" t="s">
        <v>24</v>
      </c>
      <c r="C65" s="25">
        <v>0.72</v>
      </c>
      <c r="D65" s="25">
        <v>0.74</v>
      </c>
      <c r="E65" s="25">
        <v>0.748</v>
      </c>
      <c r="F65" s="25">
        <v>0.75600000000000001</v>
      </c>
      <c r="G65" s="25">
        <v>0.76400000000000001</v>
      </c>
      <c r="H65" s="25">
        <v>0.77200000000000002</v>
      </c>
      <c r="I65" s="25">
        <v>0.78</v>
      </c>
      <c r="J65" s="25">
        <v>0.78800000000000003</v>
      </c>
      <c r="K65" s="25">
        <v>0.79600000000000004</v>
      </c>
      <c r="L65" s="25">
        <v>0.8</v>
      </c>
      <c r="M65" s="25">
        <v>0.8</v>
      </c>
      <c r="N65" s="25">
        <v>0.8</v>
      </c>
    </row>
    <row r="66" spans="2:14" x14ac:dyDescent="0.25">
      <c r="B66" t="s">
        <v>31</v>
      </c>
      <c r="C66" s="25">
        <v>0.66500000000000004</v>
      </c>
      <c r="D66" s="25">
        <v>0.69</v>
      </c>
      <c r="E66" s="25">
        <v>0.69799999999999995</v>
      </c>
      <c r="F66" s="25">
        <v>0.70599999999999996</v>
      </c>
      <c r="G66" s="25">
        <v>0.71399999999999997</v>
      </c>
      <c r="H66" s="25">
        <v>0.72199999999999998</v>
      </c>
      <c r="I66" s="25">
        <v>0.73</v>
      </c>
      <c r="J66" s="25">
        <v>0.74199999999999999</v>
      </c>
      <c r="K66" s="25">
        <v>0.754</v>
      </c>
      <c r="L66" s="25">
        <v>0.76</v>
      </c>
      <c r="M66" s="25">
        <v>0.76</v>
      </c>
      <c r="N66" s="25">
        <v>0.76</v>
      </c>
    </row>
    <row r="67" spans="2:14" x14ac:dyDescent="0.25">
      <c r="B67" t="s">
        <v>191</v>
      </c>
      <c r="C67" s="25">
        <v>0.61</v>
      </c>
      <c r="D67" s="25">
        <v>0.64</v>
      </c>
      <c r="E67" s="25">
        <v>0.64800000000000002</v>
      </c>
      <c r="F67" s="25">
        <v>0.65600000000000003</v>
      </c>
      <c r="G67" s="25">
        <v>0.66400000000000003</v>
      </c>
      <c r="H67" s="25">
        <v>0.67200000000000004</v>
      </c>
      <c r="I67" s="25">
        <v>0.68</v>
      </c>
      <c r="J67" s="25">
        <v>0.69600000000000006</v>
      </c>
      <c r="K67" s="25">
        <v>0.71199999999999997</v>
      </c>
      <c r="L67" s="25">
        <v>0.72</v>
      </c>
      <c r="M67" s="25">
        <v>0.72</v>
      </c>
      <c r="N67" s="25">
        <v>0.72</v>
      </c>
    </row>
    <row r="68" spans="2:14" x14ac:dyDescent="0.25">
      <c r="B68" t="s">
        <v>194</v>
      </c>
      <c r="C68" s="25">
        <v>0.56499999999999995</v>
      </c>
      <c r="D68" s="25">
        <v>0.59000000000000008</v>
      </c>
      <c r="E68" s="25">
        <v>0.60000000000000009</v>
      </c>
      <c r="F68" s="25">
        <v>0.6100000000000001</v>
      </c>
      <c r="G68" s="25">
        <v>0.62</v>
      </c>
      <c r="H68" s="25">
        <v>0.63</v>
      </c>
      <c r="I68" s="25">
        <v>0.64</v>
      </c>
      <c r="J68" s="25">
        <v>0.65600000000000003</v>
      </c>
      <c r="K68" s="25">
        <v>0.67199999999999993</v>
      </c>
      <c r="L68" s="25">
        <v>0.67999999999999994</v>
      </c>
      <c r="M68" s="25">
        <v>0.67999999999999994</v>
      </c>
      <c r="N68" s="25">
        <v>0.67999999999999994</v>
      </c>
    </row>
    <row r="69" spans="2:14" x14ac:dyDescent="0.25">
      <c r="B69" t="s">
        <v>196</v>
      </c>
      <c r="C69" s="25">
        <v>0.52</v>
      </c>
      <c r="D69" s="25">
        <v>0.54</v>
      </c>
      <c r="E69" s="25">
        <v>0.55200000000000005</v>
      </c>
      <c r="F69" s="25">
        <v>0.56400000000000006</v>
      </c>
      <c r="G69" s="25">
        <v>0.57599999999999996</v>
      </c>
      <c r="H69" s="25">
        <v>0.58799999999999997</v>
      </c>
      <c r="I69" s="25">
        <v>0.6</v>
      </c>
      <c r="J69" s="25">
        <v>0.61599999999999999</v>
      </c>
      <c r="K69" s="25">
        <v>0.63200000000000001</v>
      </c>
      <c r="L69" s="25">
        <v>0.64</v>
      </c>
      <c r="M69" s="25">
        <v>0.64</v>
      </c>
      <c r="N69" s="25">
        <v>0.64</v>
      </c>
    </row>
    <row r="70" spans="2:14" x14ac:dyDescent="0.25">
      <c r="B70" t="s">
        <v>198</v>
      </c>
      <c r="C70" s="25">
        <v>0.47499999999999998</v>
      </c>
      <c r="D70" s="25">
        <v>0.51</v>
      </c>
      <c r="E70" s="25">
        <v>0.52100000000000002</v>
      </c>
      <c r="F70" s="25">
        <v>0.53200000000000003</v>
      </c>
      <c r="G70" s="25">
        <v>0.54299999999999993</v>
      </c>
      <c r="H70" s="25">
        <v>0.55400000000000005</v>
      </c>
      <c r="I70" s="25">
        <v>0.56499999999999995</v>
      </c>
      <c r="J70" s="25">
        <v>0.58299999999999996</v>
      </c>
      <c r="K70" s="25">
        <v>0.60099999999999998</v>
      </c>
      <c r="L70" s="25">
        <v>0.61</v>
      </c>
      <c r="M70" s="25">
        <v>0.61</v>
      </c>
      <c r="N70" s="25">
        <v>0.61</v>
      </c>
    </row>
    <row r="71" spans="2:14" x14ac:dyDescent="0.25">
      <c r="B71" t="s">
        <v>201</v>
      </c>
      <c r="C71" s="25">
        <v>0.43</v>
      </c>
      <c r="D71" s="25">
        <v>0.48</v>
      </c>
      <c r="E71" s="25">
        <v>0.49</v>
      </c>
      <c r="F71" s="25">
        <v>0.5</v>
      </c>
      <c r="G71" s="25">
        <v>0.51</v>
      </c>
      <c r="H71" s="25">
        <v>0.52</v>
      </c>
      <c r="I71" s="25">
        <v>0.53</v>
      </c>
      <c r="J71" s="25">
        <v>0.55000000000000004</v>
      </c>
      <c r="K71" s="25">
        <v>0.56999999999999995</v>
      </c>
      <c r="L71" s="25">
        <v>0.57999999999999996</v>
      </c>
      <c r="M71" s="25">
        <v>0.57999999999999996</v>
      </c>
      <c r="N71" s="25">
        <v>0.57999999999999996</v>
      </c>
    </row>
    <row r="72" spans="2:14" x14ac:dyDescent="0.25">
      <c r="B72" t="s">
        <v>204</v>
      </c>
      <c r="C72" s="25">
        <v>0.40500000000000003</v>
      </c>
      <c r="D72" s="25">
        <v>0.44499999999999995</v>
      </c>
      <c r="E72" s="25">
        <v>0.45599999999999996</v>
      </c>
      <c r="F72" s="25">
        <v>0.46699999999999997</v>
      </c>
      <c r="G72" s="25">
        <v>0.47799999999999998</v>
      </c>
      <c r="H72" s="25">
        <v>0.48899999999999999</v>
      </c>
      <c r="I72" s="25">
        <v>0.5</v>
      </c>
      <c r="J72" s="25">
        <v>0.52</v>
      </c>
      <c r="K72" s="25">
        <v>0.54</v>
      </c>
      <c r="L72" s="25">
        <v>0.55000000000000004</v>
      </c>
      <c r="M72" s="25">
        <v>0.55000000000000004</v>
      </c>
      <c r="N72" s="25">
        <v>0.55000000000000004</v>
      </c>
    </row>
    <row r="73" spans="2:14" x14ac:dyDescent="0.25">
      <c r="B73" t="s">
        <v>208</v>
      </c>
      <c r="C73" s="25">
        <v>0.38</v>
      </c>
      <c r="D73" s="25">
        <v>0.41</v>
      </c>
      <c r="E73" s="25">
        <v>0.42199999999999999</v>
      </c>
      <c r="F73" s="25">
        <v>0.434</v>
      </c>
      <c r="G73" s="25">
        <v>0.44599999999999995</v>
      </c>
      <c r="H73" s="25">
        <v>0.45799999999999996</v>
      </c>
      <c r="I73" s="25">
        <v>0.47</v>
      </c>
      <c r="J73" s="25">
        <v>0.49</v>
      </c>
      <c r="K73" s="25">
        <v>0.51</v>
      </c>
      <c r="L73" s="25">
        <v>0.52</v>
      </c>
      <c r="M73" s="25">
        <v>0.52</v>
      </c>
      <c r="N73" s="25">
        <v>0.52</v>
      </c>
    </row>
    <row r="74" spans="2:14" x14ac:dyDescent="0.25">
      <c r="B74" t="s">
        <v>210</v>
      </c>
      <c r="C74" s="25">
        <v>0.34499999999999997</v>
      </c>
      <c r="D74" s="25">
        <v>0.38</v>
      </c>
      <c r="E74" s="25">
        <v>0.39200000000000002</v>
      </c>
      <c r="F74" s="25">
        <v>0.40400000000000003</v>
      </c>
      <c r="G74" s="25">
        <v>0.41599999999999998</v>
      </c>
      <c r="H74" s="25">
        <v>0.42799999999999994</v>
      </c>
      <c r="I74" s="25">
        <v>0.43999999999999995</v>
      </c>
      <c r="J74" s="25">
        <v>0.46199999999999997</v>
      </c>
      <c r="K74" s="25">
        <v>0.48399999999999999</v>
      </c>
      <c r="L74" s="25">
        <v>0.495</v>
      </c>
      <c r="M74" s="25">
        <v>0.495</v>
      </c>
      <c r="N74" s="25">
        <v>0.495</v>
      </c>
    </row>
    <row r="75" spans="2:14" x14ac:dyDescent="0.25">
      <c r="B75" t="s">
        <v>211</v>
      </c>
      <c r="C75" s="25">
        <v>0.31</v>
      </c>
      <c r="D75" s="25">
        <v>0.35</v>
      </c>
      <c r="E75" s="25">
        <v>0.36199999999999999</v>
      </c>
      <c r="F75" s="25">
        <v>0.374</v>
      </c>
      <c r="G75" s="25">
        <v>0.38600000000000001</v>
      </c>
      <c r="H75" s="25">
        <v>0.39799999999999996</v>
      </c>
      <c r="I75" s="25">
        <v>0.41</v>
      </c>
      <c r="J75" s="25">
        <v>0.434</v>
      </c>
      <c r="K75" s="25">
        <v>0.45799999999999996</v>
      </c>
      <c r="L75" s="25">
        <v>0.47</v>
      </c>
      <c r="M75" s="25">
        <v>0.47</v>
      </c>
      <c r="N75" s="25">
        <v>0.47</v>
      </c>
    </row>
    <row r="76" spans="2:14" x14ac:dyDescent="0.25">
      <c r="B76" t="s">
        <v>213</v>
      </c>
      <c r="C76" s="25">
        <v>0.29500000000000004</v>
      </c>
      <c r="D76" s="25">
        <v>0.32499999999999996</v>
      </c>
      <c r="E76" s="25">
        <v>0.33799999999999997</v>
      </c>
      <c r="F76" s="25">
        <v>0.35099999999999998</v>
      </c>
      <c r="G76" s="25">
        <v>0.36399999999999999</v>
      </c>
      <c r="H76" s="25">
        <v>0.377</v>
      </c>
      <c r="I76" s="25">
        <v>0.39</v>
      </c>
      <c r="J76" s="25">
        <v>0.41200000000000003</v>
      </c>
      <c r="K76" s="25">
        <v>0.43399999999999994</v>
      </c>
      <c r="L76" s="25">
        <v>0.44499999999999995</v>
      </c>
      <c r="M76" s="25">
        <v>0.44499999999999995</v>
      </c>
      <c r="N76" s="25">
        <v>0.44499999999999995</v>
      </c>
    </row>
    <row r="77" spans="2:14" x14ac:dyDescent="0.25">
      <c r="B77" t="s">
        <v>215</v>
      </c>
      <c r="C77" s="25">
        <v>0.28000000000000003</v>
      </c>
      <c r="D77" s="25">
        <v>0.3</v>
      </c>
      <c r="E77" s="25">
        <v>0.314</v>
      </c>
      <c r="F77" s="25">
        <v>0.32800000000000001</v>
      </c>
      <c r="G77" s="25">
        <v>0.34199999999999997</v>
      </c>
      <c r="H77" s="25">
        <v>0.35599999999999998</v>
      </c>
      <c r="I77" s="25">
        <v>0.37</v>
      </c>
      <c r="J77" s="25">
        <v>0.39</v>
      </c>
      <c r="K77" s="25">
        <v>0.41</v>
      </c>
      <c r="L77" s="25">
        <v>0.42</v>
      </c>
      <c r="M77" s="25">
        <v>0.42</v>
      </c>
      <c r="N77" s="25">
        <v>0.42</v>
      </c>
    </row>
    <row r="78" spans="2:14" x14ac:dyDescent="0.25">
      <c r="B78" t="s">
        <v>217</v>
      </c>
      <c r="C78" s="25">
        <v>0.255</v>
      </c>
      <c r="D78" s="25">
        <v>0.28000000000000003</v>
      </c>
      <c r="E78" s="25">
        <v>0.29300000000000004</v>
      </c>
      <c r="F78" s="25">
        <v>0.30600000000000005</v>
      </c>
      <c r="G78" s="25">
        <v>0.31900000000000001</v>
      </c>
      <c r="H78" s="25">
        <v>0.33199999999999996</v>
      </c>
      <c r="I78" s="25">
        <v>0.34499999999999997</v>
      </c>
      <c r="J78" s="25">
        <v>0.36699999999999999</v>
      </c>
      <c r="K78" s="25">
        <v>0.38900000000000001</v>
      </c>
      <c r="L78" s="25">
        <v>0.4</v>
      </c>
      <c r="M78" s="25">
        <v>0.4</v>
      </c>
      <c r="N78" s="25">
        <v>0.4</v>
      </c>
    </row>
    <row r="79" spans="2:14" x14ac:dyDescent="0.25">
      <c r="B79" t="s">
        <v>219</v>
      </c>
      <c r="C79" s="25">
        <v>0.23</v>
      </c>
      <c r="D79" s="25">
        <v>0.26</v>
      </c>
      <c r="E79" s="25">
        <v>0.27200000000000002</v>
      </c>
      <c r="F79" s="25">
        <v>0.28400000000000003</v>
      </c>
      <c r="G79" s="25">
        <v>0.29600000000000004</v>
      </c>
      <c r="H79" s="25">
        <v>0.308</v>
      </c>
      <c r="I79" s="25">
        <v>0.32</v>
      </c>
      <c r="J79" s="25">
        <v>0.34400000000000003</v>
      </c>
      <c r="K79" s="25">
        <v>0.36799999999999999</v>
      </c>
      <c r="L79" s="25">
        <v>0.38</v>
      </c>
      <c r="M79" s="25">
        <v>0.38</v>
      </c>
      <c r="N79" s="25">
        <v>0.38</v>
      </c>
    </row>
    <row r="80" spans="2:14" x14ac:dyDescent="0.25">
      <c r="B80" t="s">
        <v>221</v>
      </c>
      <c r="C80" s="25">
        <v>0.21000000000000002</v>
      </c>
      <c r="D80" s="25">
        <v>0.24</v>
      </c>
      <c r="E80" s="25">
        <v>0.252</v>
      </c>
      <c r="F80" s="25">
        <v>0.26400000000000001</v>
      </c>
      <c r="G80" s="25">
        <v>0.27600000000000002</v>
      </c>
      <c r="H80" s="25">
        <v>0.28800000000000003</v>
      </c>
      <c r="I80" s="25">
        <v>0.30000000000000004</v>
      </c>
      <c r="J80" s="25">
        <v>0.32400000000000007</v>
      </c>
      <c r="K80" s="25">
        <v>0.34799999999999998</v>
      </c>
      <c r="L80" s="25">
        <v>0.36</v>
      </c>
      <c r="M80" s="25">
        <v>0.36</v>
      </c>
      <c r="N80" s="25">
        <v>0.36</v>
      </c>
    </row>
    <row r="81" spans="2:14" x14ac:dyDescent="0.25">
      <c r="B81" t="s">
        <v>223</v>
      </c>
      <c r="C81" s="25">
        <v>0.19</v>
      </c>
      <c r="D81" s="25">
        <v>0.22</v>
      </c>
      <c r="E81" s="25">
        <v>0.23200000000000001</v>
      </c>
      <c r="F81" s="25">
        <v>0.24400000000000002</v>
      </c>
      <c r="G81" s="25">
        <v>0.25600000000000001</v>
      </c>
      <c r="H81" s="25">
        <v>0.26800000000000002</v>
      </c>
      <c r="I81" s="25">
        <v>0.28000000000000003</v>
      </c>
      <c r="J81" s="25">
        <v>0.30400000000000005</v>
      </c>
      <c r="K81" s="25">
        <v>0.32800000000000001</v>
      </c>
      <c r="L81" s="25">
        <v>0.34</v>
      </c>
      <c r="M81" s="25">
        <v>0.34</v>
      </c>
      <c r="N81" s="25">
        <v>0.34</v>
      </c>
    </row>
    <row r="82" spans="2:14" x14ac:dyDescent="0.25">
      <c r="B82" t="s">
        <v>225</v>
      </c>
      <c r="C82" s="25">
        <v>0.18</v>
      </c>
      <c r="D82" s="25">
        <v>0.20500000000000002</v>
      </c>
      <c r="E82" s="25">
        <v>0.21700000000000003</v>
      </c>
      <c r="F82" s="25">
        <v>0.22900000000000001</v>
      </c>
      <c r="G82" s="25">
        <v>0.24099999999999999</v>
      </c>
      <c r="H82" s="25">
        <v>0.253</v>
      </c>
      <c r="I82" s="25">
        <v>0.26500000000000001</v>
      </c>
      <c r="J82" s="25">
        <v>0.28700000000000003</v>
      </c>
      <c r="K82" s="25">
        <v>0.309</v>
      </c>
      <c r="L82" s="25">
        <v>0.32</v>
      </c>
      <c r="M82" s="25">
        <v>0.32</v>
      </c>
      <c r="N82" s="25">
        <v>0.32</v>
      </c>
    </row>
    <row r="83" spans="2:14" x14ac:dyDescent="0.25">
      <c r="B83" t="s">
        <v>227</v>
      </c>
      <c r="C83" s="25">
        <v>0.17</v>
      </c>
      <c r="D83" s="25">
        <v>0.19</v>
      </c>
      <c r="E83" s="25">
        <v>0.20200000000000001</v>
      </c>
      <c r="F83" s="25">
        <v>0.214</v>
      </c>
      <c r="G83" s="25">
        <v>0.22600000000000001</v>
      </c>
      <c r="H83" s="25">
        <v>0.23799999999999999</v>
      </c>
      <c r="I83" s="25">
        <v>0.25</v>
      </c>
      <c r="J83" s="25">
        <v>0.27</v>
      </c>
      <c r="K83" s="25">
        <v>0.28999999999999998</v>
      </c>
      <c r="L83" s="25">
        <v>0.3</v>
      </c>
      <c r="M83" s="25">
        <v>0.3</v>
      </c>
      <c r="N83" s="25">
        <v>0.3</v>
      </c>
    </row>
    <row r="84" spans="2:14" x14ac:dyDescent="0.25">
      <c r="B84" t="s">
        <v>228</v>
      </c>
      <c r="C84" s="25">
        <v>0.15500000000000003</v>
      </c>
      <c r="D84" s="25">
        <v>0.18</v>
      </c>
      <c r="E84" s="25">
        <v>0.191</v>
      </c>
      <c r="F84" s="25">
        <v>0.20200000000000001</v>
      </c>
      <c r="G84" s="25">
        <v>0.21300000000000002</v>
      </c>
      <c r="H84" s="25">
        <v>0.224</v>
      </c>
      <c r="I84" s="25">
        <v>0.23499999999999999</v>
      </c>
      <c r="J84" s="25">
        <v>0.255</v>
      </c>
      <c r="K84" s="25">
        <v>0.27500000000000002</v>
      </c>
      <c r="L84" s="25">
        <v>0.28500000000000003</v>
      </c>
      <c r="M84" s="25">
        <v>0.28500000000000003</v>
      </c>
      <c r="N84" s="25">
        <v>0.28500000000000003</v>
      </c>
    </row>
    <row r="85" spans="2:14" x14ac:dyDescent="0.25">
      <c r="B85" t="s">
        <v>230</v>
      </c>
      <c r="C85" s="25">
        <v>0.14000000000000001</v>
      </c>
      <c r="D85" s="25">
        <v>0.17</v>
      </c>
      <c r="E85" s="25">
        <v>0.18000000000000002</v>
      </c>
      <c r="F85" s="25">
        <v>0.19</v>
      </c>
      <c r="G85" s="25">
        <v>0.2</v>
      </c>
      <c r="H85" s="25">
        <v>0.21000000000000002</v>
      </c>
      <c r="I85" s="25">
        <v>0.22</v>
      </c>
      <c r="J85" s="25">
        <v>0.24000000000000002</v>
      </c>
      <c r="K85" s="25">
        <v>0.26</v>
      </c>
      <c r="L85" s="25">
        <v>0.27</v>
      </c>
      <c r="M85" s="25">
        <v>0.27</v>
      </c>
      <c r="N85" s="25">
        <v>0.27</v>
      </c>
    </row>
    <row r="86" spans="2:14" x14ac:dyDescent="0.25">
      <c r="B86" t="s">
        <v>232</v>
      </c>
      <c r="C86" s="25">
        <v>0.13</v>
      </c>
      <c r="D86" s="25">
        <v>0.15500000000000003</v>
      </c>
      <c r="E86" s="25">
        <v>0.16500000000000004</v>
      </c>
      <c r="F86" s="25">
        <v>0.17499999999999999</v>
      </c>
      <c r="G86" s="25">
        <v>0.185</v>
      </c>
      <c r="H86" s="25">
        <v>0.19500000000000001</v>
      </c>
      <c r="I86" s="25">
        <v>0.20500000000000002</v>
      </c>
      <c r="J86" s="25">
        <v>0.22500000000000001</v>
      </c>
      <c r="K86" s="25">
        <v>0.245</v>
      </c>
      <c r="L86" s="25">
        <v>0.255</v>
      </c>
      <c r="M86" s="25">
        <v>0.255</v>
      </c>
      <c r="N86" s="25">
        <v>0.255</v>
      </c>
    </row>
    <row r="87" spans="2:14" x14ac:dyDescent="0.25">
      <c r="B87" t="s">
        <v>234</v>
      </c>
      <c r="C87" s="25">
        <v>0.12</v>
      </c>
      <c r="D87" s="25">
        <v>0.14000000000000001</v>
      </c>
      <c r="E87" s="25">
        <v>0.15000000000000002</v>
      </c>
      <c r="F87" s="25">
        <v>0.16</v>
      </c>
      <c r="G87" s="25">
        <v>0.17</v>
      </c>
      <c r="H87" s="25">
        <v>0.18</v>
      </c>
      <c r="I87" s="25">
        <v>0.19</v>
      </c>
      <c r="J87" s="25">
        <v>0.21</v>
      </c>
      <c r="K87" s="25">
        <v>0.22999999999999998</v>
      </c>
      <c r="L87" s="25">
        <v>0.24</v>
      </c>
      <c r="M87" s="25">
        <v>0.24</v>
      </c>
      <c r="N87" s="25">
        <v>0.24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2DF2-FA3D-41A4-BB5E-AE5AAC2113A7}">
  <dimension ref="B2:J108"/>
  <sheetViews>
    <sheetView workbookViewId="0">
      <selection activeCell="H3" sqref="H3"/>
    </sheetView>
  </sheetViews>
  <sheetFormatPr defaultRowHeight="15" x14ac:dyDescent="0.25"/>
  <cols>
    <col min="2" max="2" width="53.5703125" bestFit="1" customWidth="1"/>
    <col min="3" max="3" width="8.7109375" bestFit="1" customWidth="1"/>
    <col min="11" max="11" width="54.42578125" bestFit="1" customWidth="1"/>
    <col min="19" max="19" width="54.42578125" bestFit="1" customWidth="1"/>
  </cols>
  <sheetData>
    <row r="2" spans="2:10" ht="15.75" thickBot="1" x14ac:dyDescent="0.3">
      <c r="B2" s="23" t="s">
        <v>172</v>
      </c>
      <c r="C2" s="26" t="s">
        <v>164</v>
      </c>
      <c r="D2" t="s">
        <v>163</v>
      </c>
      <c r="E2" t="s">
        <v>162</v>
      </c>
      <c r="F2" t="s">
        <v>161</v>
      </c>
      <c r="G2" t="s">
        <v>157</v>
      </c>
      <c r="H2" t="s">
        <v>3</v>
      </c>
    </row>
    <row r="3" spans="2:10" x14ac:dyDescent="0.25">
      <c r="B3" s="48" t="s">
        <v>176</v>
      </c>
      <c r="C3" s="51">
        <v>0</v>
      </c>
      <c r="D3" s="51">
        <f t="shared" ref="D3:D17" si="0">C3*0.733</f>
        <v>0</v>
      </c>
      <c r="E3" s="51">
        <f t="shared" ref="E3:E17" si="1">C3*0.548</f>
        <v>0</v>
      </c>
      <c r="F3" s="51">
        <f t="shared" ref="F3:F17" si="2">C3*0.372</f>
        <v>0</v>
      </c>
      <c r="G3" s="51">
        <f t="shared" ref="G3:G17" si="3">C3*0.258</f>
        <v>0</v>
      </c>
      <c r="H3" s="52">
        <f t="shared" ref="H3:H17" si="4">C3*0.189</f>
        <v>0</v>
      </c>
    </row>
    <row r="4" spans="2:10" x14ac:dyDescent="0.25">
      <c r="B4" s="49" t="s">
        <v>453</v>
      </c>
      <c r="C4" s="53">
        <v>0.84</v>
      </c>
      <c r="D4" s="53">
        <f t="shared" si="0"/>
        <v>0.61571999999999993</v>
      </c>
      <c r="E4" s="53">
        <f t="shared" si="1"/>
        <v>0.46032000000000001</v>
      </c>
      <c r="F4" s="53">
        <f t="shared" si="2"/>
        <v>0.31247999999999998</v>
      </c>
      <c r="G4" s="53">
        <f t="shared" si="3"/>
        <v>0.21672</v>
      </c>
      <c r="H4" s="54">
        <f t="shared" si="4"/>
        <v>0.15875999999999998</v>
      </c>
    </row>
    <row r="5" spans="2:10" x14ac:dyDescent="0.25">
      <c r="B5" s="49" t="s">
        <v>193</v>
      </c>
      <c r="C5" s="53">
        <v>6</v>
      </c>
      <c r="D5" s="53">
        <f t="shared" si="0"/>
        <v>4.3979999999999997</v>
      </c>
      <c r="E5" s="53">
        <f t="shared" si="1"/>
        <v>3.2880000000000003</v>
      </c>
      <c r="F5" s="53">
        <f t="shared" si="2"/>
        <v>2.2320000000000002</v>
      </c>
      <c r="G5" s="53">
        <f t="shared" si="3"/>
        <v>1.548</v>
      </c>
      <c r="H5" s="54">
        <f t="shared" si="4"/>
        <v>1.1339999999999999</v>
      </c>
    </row>
    <row r="6" spans="2:10" x14ac:dyDescent="0.25">
      <c r="B6" s="49" t="s">
        <v>207</v>
      </c>
      <c r="C6" s="53">
        <v>0.77</v>
      </c>
      <c r="D6" s="53">
        <f t="shared" si="0"/>
        <v>0.56440999999999997</v>
      </c>
      <c r="E6" s="53">
        <f t="shared" si="1"/>
        <v>0.42196000000000006</v>
      </c>
      <c r="F6" s="53">
        <f t="shared" si="2"/>
        <v>0.28644000000000003</v>
      </c>
      <c r="G6" s="53">
        <f t="shared" si="3"/>
        <v>0.19866</v>
      </c>
      <c r="H6" s="54">
        <f t="shared" si="4"/>
        <v>0.14552999999999999</v>
      </c>
    </row>
    <row r="7" spans="2:10" x14ac:dyDescent="0.25">
      <c r="B7" s="49" t="s">
        <v>532</v>
      </c>
      <c r="C7" s="53">
        <v>0.53</v>
      </c>
      <c r="D7" s="53">
        <f t="shared" si="0"/>
        <v>0.38849</v>
      </c>
      <c r="E7" s="53">
        <f t="shared" si="1"/>
        <v>0.29044000000000003</v>
      </c>
      <c r="F7" s="53">
        <f t="shared" si="2"/>
        <v>0.19716</v>
      </c>
      <c r="G7" s="53">
        <f t="shared" si="3"/>
        <v>0.13674</v>
      </c>
      <c r="H7" s="54">
        <f t="shared" si="4"/>
        <v>0.10017000000000001</v>
      </c>
      <c r="J7" s="24"/>
    </row>
    <row r="8" spans="2:10" x14ac:dyDescent="0.25">
      <c r="B8" s="49" t="s">
        <v>531</v>
      </c>
      <c r="C8" s="53">
        <v>3.1</v>
      </c>
      <c r="D8" s="53">
        <f t="shared" si="0"/>
        <v>2.2723</v>
      </c>
      <c r="E8" s="53">
        <f t="shared" si="1"/>
        <v>1.6988000000000001</v>
      </c>
      <c r="F8" s="53">
        <f t="shared" si="2"/>
        <v>1.1532</v>
      </c>
      <c r="G8" s="53">
        <f t="shared" si="3"/>
        <v>0.79980000000000007</v>
      </c>
      <c r="H8" s="54">
        <f t="shared" si="4"/>
        <v>0.58589999999999998</v>
      </c>
    </row>
    <row r="9" spans="2:10" x14ac:dyDescent="0.25">
      <c r="B9" s="49" t="s">
        <v>533</v>
      </c>
      <c r="C9" s="53">
        <v>6.7</v>
      </c>
      <c r="D9" s="53">
        <f t="shared" si="0"/>
        <v>4.9111000000000002</v>
      </c>
      <c r="E9" s="53">
        <f t="shared" si="1"/>
        <v>3.6716000000000002</v>
      </c>
      <c r="F9" s="53">
        <f t="shared" si="2"/>
        <v>2.4923999999999999</v>
      </c>
      <c r="G9" s="53">
        <f t="shared" si="3"/>
        <v>1.7286000000000001</v>
      </c>
      <c r="H9" s="54">
        <f t="shared" si="4"/>
        <v>1.2663</v>
      </c>
      <c r="J9" s="24"/>
    </row>
    <row r="10" spans="2:10" x14ac:dyDescent="0.25">
      <c r="B10" s="49" t="s">
        <v>22</v>
      </c>
      <c r="C10" s="53">
        <v>6</v>
      </c>
      <c r="D10" s="53">
        <f t="shared" si="0"/>
        <v>4.3979999999999997</v>
      </c>
      <c r="E10" s="53">
        <f t="shared" si="1"/>
        <v>3.2880000000000003</v>
      </c>
      <c r="F10" s="53">
        <f t="shared" si="2"/>
        <v>2.2320000000000002</v>
      </c>
      <c r="G10" s="53">
        <f t="shared" si="3"/>
        <v>1.548</v>
      </c>
      <c r="H10" s="54">
        <f t="shared" si="4"/>
        <v>1.1339999999999999</v>
      </c>
    </row>
    <row r="11" spans="2:10" x14ac:dyDescent="0.25">
      <c r="B11" s="49" t="s">
        <v>185</v>
      </c>
      <c r="C11" s="53">
        <v>0.75</v>
      </c>
      <c r="D11" s="53">
        <f t="shared" si="0"/>
        <v>0.54974999999999996</v>
      </c>
      <c r="E11" s="53">
        <f t="shared" si="1"/>
        <v>0.41100000000000003</v>
      </c>
      <c r="F11" s="53">
        <f t="shared" si="2"/>
        <v>0.27900000000000003</v>
      </c>
      <c r="G11" s="53">
        <f t="shared" si="3"/>
        <v>0.19350000000000001</v>
      </c>
      <c r="H11" s="54">
        <f t="shared" si="4"/>
        <v>0.14174999999999999</v>
      </c>
      <c r="J11" s="24"/>
    </row>
    <row r="12" spans="2:10" x14ac:dyDescent="0.25">
      <c r="B12" s="49" t="s">
        <v>188</v>
      </c>
      <c r="C12" s="53">
        <v>0.75</v>
      </c>
      <c r="D12" s="53">
        <f t="shared" si="0"/>
        <v>0.54974999999999996</v>
      </c>
      <c r="E12" s="53">
        <f t="shared" si="1"/>
        <v>0.41100000000000003</v>
      </c>
      <c r="F12" s="53">
        <f t="shared" si="2"/>
        <v>0.27900000000000003</v>
      </c>
      <c r="G12" s="53">
        <f t="shared" si="3"/>
        <v>0.19350000000000001</v>
      </c>
      <c r="H12" s="54">
        <f t="shared" si="4"/>
        <v>0.14174999999999999</v>
      </c>
    </row>
    <row r="13" spans="2:10" x14ac:dyDescent="0.25">
      <c r="B13" s="49" t="s">
        <v>452</v>
      </c>
      <c r="C13" s="53">
        <v>1.9</v>
      </c>
      <c r="D13" s="53">
        <f t="shared" si="0"/>
        <v>1.3926999999999998</v>
      </c>
      <c r="E13" s="53">
        <f t="shared" si="1"/>
        <v>1.0412000000000001</v>
      </c>
      <c r="F13" s="53">
        <f t="shared" si="2"/>
        <v>0.70679999999999998</v>
      </c>
      <c r="G13" s="53">
        <f t="shared" si="3"/>
        <v>0.49019999999999997</v>
      </c>
      <c r="H13" s="54">
        <f t="shared" si="4"/>
        <v>0.35909999999999997</v>
      </c>
    </row>
    <row r="14" spans="2:10" x14ac:dyDescent="0.25">
      <c r="B14" s="49" t="s">
        <v>27</v>
      </c>
      <c r="C14" s="53">
        <v>6.4</v>
      </c>
      <c r="D14" s="53">
        <f t="shared" si="0"/>
        <v>4.6912000000000003</v>
      </c>
      <c r="E14" s="53">
        <f t="shared" si="1"/>
        <v>3.5072000000000005</v>
      </c>
      <c r="F14" s="53">
        <f t="shared" si="2"/>
        <v>2.3808000000000002</v>
      </c>
      <c r="G14" s="53">
        <f t="shared" si="3"/>
        <v>1.6512000000000002</v>
      </c>
      <c r="H14" s="54">
        <f t="shared" si="4"/>
        <v>1.2096</v>
      </c>
    </row>
    <row r="15" spans="2:10" x14ac:dyDescent="0.25">
      <c r="B15" s="49" t="s">
        <v>200</v>
      </c>
      <c r="C15" s="53">
        <v>8.6</v>
      </c>
      <c r="D15" s="53">
        <f t="shared" si="0"/>
        <v>6.3037999999999998</v>
      </c>
      <c r="E15" s="53">
        <f t="shared" si="1"/>
        <v>4.7128000000000005</v>
      </c>
      <c r="F15" s="53">
        <f t="shared" si="2"/>
        <v>3.1991999999999998</v>
      </c>
      <c r="G15" s="53">
        <f t="shared" si="3"/>
        <v>2.2187999999999999</v>
      </c>
      <c r="H15" s="54">
        <f t="shared" si="4"/>
        <v>1.6254</v>
      </c>
    </row>
    <row r="16" spans="2:10" x14ac:dyDescent="0.25">
      <c r="B16" s="49" t="s">
        <v>203</v>
      </c>
      <c r="C16" s="53">
        <v>44</v>
      </c>
      <c r="D16" s="53">
        <f t="shared" si="0"/>
        <v>32.252000000000002</v>
      </c>
      <c r="E16" s="53">
        <f t="shared" si="1"/>
        <v>24.112000000000002</v>
      </c>
      <c r="F16" s="53">
        <f t="shared" si="2"/>
        <v>16.367999999999999</v>
      </c>
      <c r="G16" s="53">
        <f t="shared" si="3"/>
        <v>11.352</v>
      </c>
      <c r="H16" s="54">
        <f t="shared" si="4"/>
        <v>8.3160000000000007</v>
      </c>
    </row>
    <row r="17" spans="2:8" x14ac:dyDescent="0.25">
      <c r="B17" s="49" t="s">
        <v>218</v>
      </c>
      <c r="C17" s="53">
        <v>3</v>
      </c>
      <c r="D17" s="53">
        <f t="shared" si="0"/>
        <v>2.1989999999999998</v>
      </c>
      <c r="E17" s="53">
        <f t="shared" si="1"/>
        <v>1.6440000000000001</v>
      </c>
      <c r="F17" s="53">
        <f t="shared" si="2"/>
        <v>1.1160000000000001</v>
      </c>
      <c r="G17" s="53">
        <f t="shared" si="3"/>
        <v>0.77400000000000002</v>
      </c>
      <c r="H17" s="54">
        <f t="shared" si="4"/>
        <v>0.56699999999999995</v>
      </c>
    </row>
    <row r="18" spans="2:8" x14ac:dyDescent="0.25">
      <c r="B18" s="49" t="s">
        <v>214</v>
      </c>
      <c r="C18" s="53">
        <v>6</v>
      </c>
      <c r="D18" s="53">
        <f t="shared" ref="D18" si="5">C18*0.733</f>
        <v>4.3979999999999997</v>
      </c>
      <c r="E18" s="53">
        <f t="shared" ref="E18" si="6">C18*0.548</f>
        <v>3.2880000000000003</v>
      </c>
      <c r="F18" s="53">
        <f t="shared" ref="F18" si="7">C18*0.372</f>
        <v>2.2320000000000002</v>
      </c>
      <c r="G18" s="53">
        <f t="shared" ref="G18" si="8">C18*0.258</f>
        <v>1.548</v>
      </c>
      <c r="H18" s="54">
        <f t="shared" ref="H18" si="9">C18*0.189</f>
        <v>1.1339999999999999</v>
      </c>
    </row>
    <row r="19" spans="2:8" x14ac:dyDescent="0.25">
      <c r="B19" s="49" t="s">
        <v>216</v>
      </c>
      <c r="C19" s="53">
        <v>3</v>
      </c>
      <c r="D19" s="53">
        <f>C19*0.733</f>
        <v>2.1989999999999998</v>
      </c>
      <c r="E19" s="53">
        <f>C19*0.548</f>
        <v>1.6440000000000001</v>
      </c>
      <c r="F19" s="53">
        <f>C19*0.372</f>
        <v>1.1160000000000001</v>
      </c>
      <c r="G19" s="53">
        <f>C19*0.258</f>
        <v>0.77400000000000002</v>
      </c>
      <c r="H19" s="54">
        <f>C19*0.189</f>
        <v>0.56699999999999995</v>
      </c>
    </row>
    <row r="20" spans="2:8" x14ac:dyDescent="0.25">
      <c r="B20" s="49" t="s">
        <v>212</v>
      </c>
      <c r="C20" s="53">
        <v>6</v>
      </c>
      <c r="D20" s="53">
        <f>C20*0.733</f>
        <v>4.3979999999999997</v>
      </c>
      <c r="E20" s="53">
        <f>C20*0.548</f>
        <v>3.2880000000000003</v>
      </c>
      <c r="F20" s="53">
        <f>C20*0.372</f>
        <v>2.2320000000000002</v>
      </c>
      <c r="G20" s="53">
        <f>C20*0.258</f>
        <v>1.548</v>
      </c>
      <c r="H20" s="54">
        <f>C20*0.189</f>
        <v>1.1339999999999999</v>
      </c>
    </row>
    <row r="21" spans="2:8" x14ac:dyDescent="0.25">
      <c r="B21" s="49" t="s">
        <v>209</v>
      </c>
      <c r="C21" s="53">
        <v>6</v>
      </c>
      <c r="D21" s="53">
        <f>C21*0.733</f>
        <v>4.3979999999999997</v>
      </c>
      <c r="E21" s="53">
        <f>C21*0.548</f>
        <v>3.2880000000000003</v>
      </c>
      <c r="F21" s="53">
        <f>C21*0.372</f>
        <v>2.2320000000000002</v>
      </c>
      <c r="G21" s="53">
        <f>C21*0.258</f>
        <v>1.548</v>
      </c>
      <c r="H21" s="54">
        <f>C21*0.189</f>
        <v>1.1339999999999999</v>
      </c>
    </row>
    <row r="22" spans="2:8" x14ac:dyDescent="0.25">
      <c r="B22" s="49" t="s">
        <v>220</v>
      </c>
      <c r="C22" s="53">
        <v>0.35</v>
      </c>
      <c r="D22" s="53">
        <f t="shared" ref="D22:D68" si="10">C22*0.733</f>
        <v>0.25655</v>
      </c>
      <c r="E22" s="53">
        <f t="shared" ref="E22:E68" si="11">C22*0.548</f>
        <v>0.1918</v>
      </c>
      <c r="F22" s="53">
        <f t="shared" ref="F22:F68" si="12">C22*0.372</f>
        <v>0.13019999999999998</v>
      </c>
      <c r="G22" s="53">
        <f t="shared" ref="G22:G68" si="13">C22*0.258</f>
        <v>9.0299999999999991E-2</v>
      </c>
      <c r="H22" s="54">
        <f t="shared" ref="H22:H68" si="14">C22*0.189</f>
        <v>6.615E-2</v>
      </c>
    </row>
    <row r="23" spans="2:8" x14ac:dyDescent="0.25">
      <c r="B23" s="49" t="s">
        <v>222</v>
      </c>
      <c r="C23" s="53">
        <v>0.61</v>
      </c>
      <c r="D23" s="53">
        <f t="shared" si="10"/>
        <v>0.44712999999999997</v>
      </c>
      <c r="E23" s="53">
        <f t="shared" si="11"/>
        <v>0.33428000000000002</v>
      </c>
      <c r="F23" s="53">
        <f t="shared" si="12"/>
        <v>0.22691999999999998</v>
      </c>
      <c r="G23" s="53">
        <f t="shared" si="13"/>
        <v>0.15737999999999999</v>
      </c>
      <c r="H23" s="54">
        <f t="shared" si="14"/>
        <v>0.11529</v>
      </c>
    </row>
    <row r="24" spans="2:8" x14ac:dyDescent="0.25">
      <c r="B24" s="49" t="s">
        <v>224</v>
      </c>
      <c r="C24" s="53">
        <v>0.74</v>
      </c>
      <c r="D24" s="53">
        <f t="shared" si="10"/>
        <v>0.54242000000000001</v>
      </c>
      <c r="E24" s="53">
        <f t="shared" si="11"/>
        <v>0.40552000000000005</v>
      </c>
      <c r="F24" s="53">
        <f t="shared" si="12"/>
        <v>0.27527999999999997</v>
      </c>
      <c r="G24" s="53">
        <f t="shared" si="13"/>
        <v>0.19092000000000001</v>
      </c>
      <c r="H24" s="54">
        <f t="shared" si="14"/>
        <v>0.13986000000000001</v>
      </c>
    </row>
    <row r="25" spans="2:8" x14ac:dyDescent="0.25">
      <c r="B25" s="49" t="s">
        <v>226</v>
      </c>
      <c r="C25" s="53">
        <v>0.9</v>
      </c>
      <c r="D25" s="53">
        <f t="shared" si="10"/>
        <v>0.65969999999999995</v>
      </c>
      <c r="E25" s="53">
        <f t="shared" si="11"/>
        <v>0.49320000000000003</v>
      </c>
      <c r="F25" s="53">
        <f t="shared" si="12"/>
        <v>0.33479999999999999</v>
      </c>
      <c r="G25" s="53">
        <f t="shared" si="13"/>
        <v>0.23220000000000002</v>
      </c>
      <c r="H25" s="54">
        <f t="shared" si="14"/>
        <v>0.1701</v>
      </c>
    </row>
    <row r="26" spans="2:8" x14ac:dyDescent="0.25">
      <c r="B26" s="49" t="s">
        <v>534</v>
      </c>
      <c r="C26" s="53">
        <v>0.8</v>
      </c>
      <c r="D26" s="53">
        <f t="shared" si="10"/>
        <v>0.58640000000000003</v>
      </c>
      <c r="E26" s="53">
        <f t="shared" si="11"/>
        <v>0.43840000000000007</v>
      </c>
      <c r="F26" s="53">
        <f t="shared" si="12"/>
        <v>0.29760000000000003</v>
      </c>
      <c r="G26" s="53">
        <f t="shared" si="13"/>
        <v>0.20640000000000003</v>
      </c>
      <c r="H26" s="54">
        <f t="shared" si="14"/>
        <v>0.1512</v>
      </c>
    </row>
    <row r="27" spans="2:8" x14ac:dyDescent="0.25">
      <c r="B27" s="49" t="s">
        <v>229</v>
      </c>
      <c r="C27" s="53">
        <v>0.63</v>
      </c>
      <c r="D27" s="53">
        <f t="shared" si="10"/>
        <v>0.46178999999999998</v>
      </c>
      <c r="E27" s="53">
        <f t="shared" si="11"/>
        <v>0.34524000000000005</v>
      </c>
      <c r="F27" s="53">
        <f t="shared" si="12"/>
        <v>0.23436000000000001</v>
      </c>
      <c r="G27" s="53">
        <f t="shared" si="13"/>
        <v>0.16254000000000002</v>
      </c>
      <c r="H27" s="54">
        <f t="shared" si="14"/>
        <v>0.11907</v>
      </c>
    </row>
    <row r="28" spans="2:8" x14ac:dyDescent="0.25">
      <c r="B28" s="49" t="s">
        <v>231</v>
      </c>
      <c r="C28" s="53">
        <v>0.69</v>
      </c>
      <c r="D28" s="53">
        <f t="shared" si="10"/>
        <v>0.50576999999999994</v>
      </c>
      <c r="E28" s="53">
        <f t="shared" si="11"/>
        <v>0.37812000000000001</v>
      </c>
      <c r="F28" s="53">
        <f t="shared" si="12"/>
        <v>0.25667999999999996</v>
      </c>
      <c r="G28" s="53">
        <f t="shared" si="13"/>
        <v>0.17801999999999998</v>
      </c>
      <c r="H28" s="54">
        <f t="shared" si="14"/>
        <v>0.13041</v>
      </c>
    </row>
    <row r="29" spans="2:8" x14ac:dyDescent="0.25">
      <c r="B29" s="49" t="s">
        <v>233</v>
      </c>
      <c r="C29" s="53">
        <v>0.89</v>
      </c>
      <c r="D29" s="53">
        <f t="shared" si="10"/>
        <v>0.65237000000000001</v>
      </c>
      <c r="E29" s="53">
        <f t="shared" si="11"/>
        <v>0.48772000000000004</v>
      </c>
      <c r="F29" s="53">
        <f t="shared" si="12"/>
        <v>0.33107999999999999</v>
      </c>
      <c r="G29" s="53">
        <f t="shared" si="13"/>
        <v>0.22962000000000002</v>
      </c>
      <c r="H29" s="54">
        <f t="shared" si="14"/>
        <v>0.16821</v>
      </c>
    </row>
    <row r="30" spans="2:8" x14ac:dyDescent="0.25">
      <c r="B30" s="49" t="s">
        <v>235</v>
      </c>
      <c r="C30" s="53">
        <v>0.83</v>
      </c>
      <c r="D30" s="53">
        <f t="shared" si="10"/>
        <v>0.60838999999999999</v>
      </c>
      <c r="E30" s="53">
        <f t="shared" si="11"/>
        <v>0.45484000000000002</v>
      </c>
      <c r="F30" s="53">
        <f t="shared" si="12"/>
        <v>0.30875999999999998</v>
      </c>
      <c r="G30" s="53">
        <f t="shared" si="13"/>
        <v>0.21414</v>
      </c>
      <c r="H30" s="54">
        <f t="shared" si="14"/>
        <v>0.15686999999999998</v>
      </c>
    </row>
    <row r="31" spans="2:8" x14ac:dyDescent="0.25">
      <c r="B31" s="49" t="s">
        <v>236</v>
      </c>
      <c r="C31" s="53">
        <v>1.4</v>
      </c>
      <c r="D31" s="53">
        <f t="shared" si="10"/>
        <v>1.0262</v>
      </c>
      <c r="E31" s="53">
        <f t="shared" si="11"/>
        <v>0.76719999999999999</v>
      </c>
      <c r="F31" s="53">
        <f t="shared" si="12"/>
        <v>0.52079999999999993</v>
      </c>
      <c r="G31" s="53">
        <f t="shared" si="13"/>
        <v>0.36119999999999997</v>
      </c>
      <c r="H31" s="54">
        <f t="shared" si="14"/>
        <v>0.2646</v>
      </c>
    </row>
    <row r="32" spans="2:8" x14ac:dyDescent="0.25">
      <c r="B32" s="49" t="s">
        <v>237</v>
      </c>
      <c r="C32" s="53">
        <v>1.5</v>
      </c>
      <c r="D32" s="53">
        <f t="shared" si="10"/>
        <v>1.0994999999999999</v>
      </c>
      <c r="E32" s="53">
        <f t="shared" si="11"/>
        <v>0.82200000000000006</v>
      </c>
      <c r="F32" s="53">
        <f t="shared" si="12"/>
        <v>0.55800000000000005</v>
      </c>
      <c r="G32" s="53">
        <f t="shared" si="13"/>
        <v>0.38700000000000001</v>
      </c>
      <c r="H32" s="54">
        <f t="shared" si="14"/>
        <v>0.28349999999999997</v>
      </c>
    </row>
    <row r="33" spans="2:8" x14ac:dyDescent="0.25">
      <c r="B33" s="49" t="s">
        <v>238</v>
      </c>
      <c r="C33" s="53">
        <v>2.1</v>
      </c>
      <c r="D33" s="53">
        <f t="shared" si="10"/>
        <v>1.5393000000000001</v>
      </c>
      <c r="E33" s="53">
        <f t="shared" si="11"/>
        <v>1.1508</v>
      </c>
      <c r="F33" s="53">
        <f t="shared" si="12"/>
        <v>0.78120000000000001</v>
      </c>
      <c r="G33" s="53">
        <f t="shared" si="13"/>
        <v>0.54180000000000006</v>
      </c>
      <c r="H33" s="54">
        <f t="shared" si="14"/>
        <v>0.39690000000000003</v>
      </c>
    </row>
    <row r="34" spans="2:8" x14ac:dyDescent="0.25">
      <c r="B34" s="49" t="s">
        <v>239</v>
      </c>
      <c r="C34" s="53">
        <v>1.3</v>
      </c>
      <c r="D34" s="53">
        <f t="shared" si="10"/>
        <v>0.95289999999999997</v>
      </c>
      <c r="E34" s="53">
        <f t="shared" si="11"/>
        <v>0.71240000000000003</v>
      </c>
      <c r="F34" s="53">
        <f t="shared" si="12"/>
        <v>0.48360000000000003</v>
      </c>
      <c r="G34" s="53">
        <f t="shared" si="13"/>
        <v>0.33540000000000003</v>
      </c>
      <c r="H34" s="54">
        <f t="shared" si="14"/>
        <v>0.2457</v>
      </c>
    </row>
    <row r="35" spans="2:8" x14ac:dyDescent="0.25">
      <c r="B35" s="49" t="s">
        <v>240</v>
      </c>
      <c r="C35" s="53">
        <v>3.5</v>
      </c>
      <c r="D35" s="53">
        <f t="shared" si="10"/>
        <v>2.5655000000000001</v>
      </c>
      <c r="E35" s="53">
        <f t="shared" si="11"/>
        <v>1.9180000000000001</v>
      </c>
      <c r="F35" s="53">
        <f t="shared" si="12"/>
        <v>1.302</v>
      </c>
      <c r="G35" s="53">
        <f t="shared" si="13"/>
        <v>0.90300000000000002</v>
      </c>
      <c r="H35" s="54">
        <f t="shared" si="14"/>
        <v>0.66149999999999998</v>
      </c>
    </row>
    <row r="36" spans="2:8" x14ac:dyDescent="0.25">
      <c r="B36" s="49" t="s">
        <v>241</v>
      </c>
      <c r="C36" s="53">
        <v>4.5</v>
      </c>
      <c r="D36" s="53">
        <f t="shared" si="10"/>
        <v>3.2984999999999998</v>
      </c>
      <c r="E36" s="53">
        <f t="shared" si="11"/>
        <v>2.4660000000000002</v>
      </c>
      <c r="F36" s="53">
        <f t="shared" si="12"/>
        <v>1.6739999999999999</v>
      </c>
      <c r="G36" s="53">
        <f t="shared" si="13"/>
        <v>1.161</v>
      </c>
      <c r="H36" s="54">
        <f t="shared" si="14"/>
        <v>0.85050000000000003</v>
      </c>
    </row>
    <row r="37" spans="2:8" x14ac:dyDescent="0.25">
      <c r="B37" s="49" t="s">
        <v>242</v>
      </c>
      <c r="C37" s="53">
        <v>6.7</v>
      </c>
      <c r="D37" s="53">
        <f t="shared" si="10"/>
        <v>4.9111000000000002</v>
      </c>
      <c r="E37" s="53">
        <f t="shared" si="11"/>
        <v>3.6716000000000002</v>
      </c>
      <c r="F37" s="53">
        <f t="shared" si="12"/>
        <v>2.4923999999999999</v>
      </c>
      <c r="G37" s="53">
        <f t="shared" si="13"/>
        <v>1.7286000000000001</v>
      </c>
      <c r="H37" s="54">
        <f t="shared" si="14"/>
        <v>1.2663</v>
      </c>
    </row>
    <row r="38" spans="2:8" x14ac:dyDescent="0.25">
      <c r="B38" s="49" t="s">
        <v>243</v>
      </c>
      <c r="C38" s="53">
        <v>9.9</v>
      </c>
      <c r="D38" s="53">
        <f t="shared" si="10"/>
        <v>7.2567000000000004</v>
      </c>
      <c r="E38" s="53">
        <f t="shared" si="11"/>
        <v>5.4252000000000002</v>
      </c>
      <c r="F38" s="53">
        <f t="shared" si="12"/>
        <v>3.6828000000000003</v>
      </c>
      <c r="G38" s="53">
        <f t="shared" si="13"/>
        <v>2.5542000000000002</v>
      </c>
      <c r="H38" s="54">
        <f t="shared" si="14"/>
        <v>1.8711</v>
      </c>
    </row>
    <row r="39" spans="2:8" x14ac:dyDescent="0.25">
      <c r="B39" s="49" t="s">
        <v>244</v>
      </c>
      <c r="C39" s="53">
        <v>1.7</v>
      </c>
      <c r="D39" s="53">
        <f t="shared" si="10"/>
        <v>1.2461</v>
      </c>
      <c r="E39" s="53">
        <f t="shared" si="11"/>
        <v>0.93160000000000009</v>
      </c>
      <c r="F39" s="53">
        <f t="shared" si="12"/>
        <v>0.63239999999999996</v>
      </c>
      <c r="G39" s="53">
        <f t="shared" si="13"/>
        <v>0.43859999999999999</v>
      </c>
      <c r="H39" s="54">
        <f t="shared" si="14"/>
        <v>0.32129999999999997</v>
      </c>
    </row>
    <row r="40" spans="2:8" x14ac:dyDescent="0.25">
      <c r="B40" s="49" t="s">
        <v>245</v>
      </c>
      <c r="C40" s="53">
        <v>7</v>
      </c>
      <c r="D40" s="53">
        <f t="shared" si="10"/>
        <v>5.1310000000000002</v>
      </c>
      <c r="E40" s="53">
        <f t="shared" si="11"/>
        <v>3.8360000000000003</v>
      </c>
      <c r="F40" s="53">
        <f t="shared" si="12"/>
        <v>2.6040000000000001</v>
      </c>
      <c r="G40" s="53">
        <f t="shared" si="13"/>
        <v>1.806</v>
      </c>
      <c r="H40" s="54">
        <f t="shared" si="14"/>
        <v>1.323</v>
      </c>
    </row>
    <row r="41" spans="2:8" x14ac:dyDescent="0.25">
      <c r="B41" s="49" t="s">
        <v>246</v>
      </c>
      <c r="C41" s="53">
        <v>14</v>
      </c>
      <c r="D41" s="53">
        <f t="shared" si="10"/>
        <v>10.262</v>
      </c>
      <c r="E41" s="53">
        <f t="shared" si="11"/>
        <v>7.6720000000000006</v>
      </c>
      <c r="F41" s="53">
        <f t="shared" si="12"/>
        <v>5.2080000000000002</v>
      </c>
      <c r="G41" s="53">
        <f t="shared" si="13"/>
        <v>3.6120000000000001</v>
      </c>
      <c r="H41" s="54">
        <f t="shared" si="14"/>
        <v>2.6459999999999999</v>
      </c>
    </row>
    <row r="42" spans="2:8" x14ac:dyDescent="0.25">
      <c r="B42" s="49" t="s">
        <v>247</v>
      </c>
      <c r="C42" s="53">
        <v>27</v>
      </c>
      <c r="D42" s="53">
        <f t="shared" si="10"/>
        <v>19.791</v>
      </c>
      <c r="E42" s="53">
        <f t="shared" si="11"/>
        <v>14.796000000000001</v>
      </c>
      <c r="F42" s="53">
        <f t="shared" si="12"/>
        <v>10.044</v>
      </c>
      <c r="G42" s="53">
        <f t="shared" si="13"/>
        <v>6.9660000000000002</v>
      </c>
      <c r="H42" s="54">
        <f t="shared" si="14"/>
        <v>5.1029999999999998</v>
      </c>
    </row>
    <row r="43" spans="2:8" x14ac:dyDescent="0.25">
      <c r="B43" s="49" t="s">
        <v>248</v>
      </c>
      <c r="C43" s="53">
        <v>39</v>
      </c>
      <c r="D43" s="53">
        <f t="shared" si="10"/>
        <v>28.587</v>
      </c>
      <c r="E43" s="53">
        <f t="shared" si="11"/>
        <v>21.372</v>
      </c>
      <c r="F43" s="53">
        <f t="shared" si="12"/>
        <v>14.507999999999999</v>
      </c>
      <c r="G43" s="53">
        <f t="shared" si="13"/>
        <v>10.062000000000001</v>
      </c>
      <c r="H43" s="54">
        <f t="shared" si="14"/>
        <v>7.3710000000000004</v>
      </c>
    </row>
    <row r="44" spans="2:8" x14ac:dyDescent="0.25">
      <c r="B44" s="49" t="s">
        <v>249</v>
      </c>
      <c r="C44" s="53">
        <v>1.2</v>
      </c>
      <c r="D44" s="53">
        <f t="shared" si="10"/>
        <v>0.87959999999999994</v>
      </c>
      <c r="E44" s="53">
        <f t="shared" si="11"/>
        <v>0.65760000000000007</v>
      </c>
      <c r="F44" s="53">
        <f t="shared" si="12"/>
        <v>0.44639999999999996</v>
      </c>
      <c r="G44" s="53">
        <f t="shared" si="13"/>
        <v>0.30959999999999999</v>
      </c>
      <c r="H44" s="54">
        <f t="shared" si="14"/>
        <v>0.2268</v>
      </c>
    </row>
    <row r="45" spans="2:8" x14ac:dyDescent="0.25">
      <c r="B45" s="49" t="s">
        <v>250</v>
      </c>
      <c r="C45" s="53">
        <v>7.2</v>
      </c>
      <c r="D45" s="53">
        <f t="shared" si="10"/>
        <v>5.2775999999999996</v>
      </c>
      <c r="E45" s="53">
        <f t="shared" si="11"/>
        <v>3.9456000000000002</v>
      </c>
      <c r="F45" s="53">
        <f t="shared" si="12"/>
        <v>2.6783999999999999</v>
      </c>
      <c r="G45" s="53">
        <f t="shared" si="13"/>
        <v>1.8576000000000001</v>
      </c>
      <c r="H45" s="54">
        <f t="shared" si="14"/>
        <v>1.3608</v>
      </c>
    </row>
    <row r="46" spans="2:8" x14ac:dyDescent="0.25">
      <c r="B46" s="49" t="s">
        <v>251</v>
      </c>
      <c r="C46" s="53">
        <v>17</v>
      </c>
      <c r="D46" s="53">
        <f t="shared" si="10"/>
        <v>12.461</v>
      </c>
      <c r="E46" s="53">
        <f t="shared" si="11"/>
        <v>9.3160000000000007</v>
      </c>
      <c r="F46" s="53">
        <f t="shared" si="12"/>
        <v>6.3239999999999998</v>
      </c>
      <c r="G46" s="53">
        <f t="shared" si="13"/>
        <v>4.3860000000000001</v>
      </c>
      <c r="H46" s="54">
        <f t="shared" si="14"/>
        <v>3.2130000000000001</v>
      </c>
    </row>
    <row r="47" spans="2:8" x14ac:dyDescent="0.25">
      <c r="B47" s="49" t="s">
        <v>252</v>
      </c>
      <c r="C47" s="53">
        <v>35</v>
      </c>
      <c r="D47" s="53">
        <f t="shared" si="10"/>
        <v>25.655000000000001</v>
      </c>
      <c r="E47" s="53">
        <f t="shared" si="11"/>
        <v>19.18</v>
      </c>
      <c r="F47" s="53">
        <f t="shared" si="12"/>
        <v>13.02</v>
      </c>
      <c r="G47" s="53">
        <f t="shared" si="13"/>
        <v>9.0300000000000011</v>
      </c>
      <c r="H47" s="54">
        <f t="shared" si="14"/>
        <v>6.6150000000000002</v>
      </c>
    </row>
    <row r="48" spans="2:8" x14ac:dyDescent="0.25">
      <c r="B48" s="49" t="s">
        <v>253</v>
      </c>
      <c r="C48" s="53">
        <v>2</v>
      </c>
      <c r="D48" s="53">
        <f t="shared" si="10"/>
        <v>1.466</v>
      </c>
      <c r="E48" s="53">
        <f t="shared" si="11"/>
        <v>1.0960000000000001</v>
      </c>
      <c r="F48" s="53">
        <f t="shared" si="12"/>
        <v>0.74399999999999999</v>
      </c>
      <c r="G48" s="53">
        <f t="shared" si="13"/>
        <v>0.51600000000000001</v>
      </c>
      <c r="H48" s="54">
        <f t="shared" si="14"/>
        <v>0.378</v>
      </c>
    </row>
    <row r="49" spans="2:8" x14ac:dyDescent="0.25">
      <c r="B49" s="49" t="s">
        <v>254</v>
      </c>
      <c r="C49" s="53">
        <v>9.9</v>
      </c>
      <c r="D49" s="53">
        <f t="shared" si="10"/>
        <v>7.2567000000000004</v>
      </c>
      <c r="E49" s="53">
        <f t="shared" si="11"/>
        <v>5.4252000000000002</v>
      </c>
      <c r="F49" s="53">
        <f t="shared" si="12"/>
        <v>3.6828000000000003</v>
      </c>
      <c r="G49" s="53">
        <f t="shared" si="13"/>
        <v>2.5542000000000002</v>
      </c>
      <c r="H49" s="54">
        <f t="shared" si="14"/>
        <v>1.8711</v>
      </c>
    </row>
    <row r="50" spans="2:8" x14ac:dyDescent="0.25">
      <c r="B50" s="49" t="s">
        <v>255</v>
      </c>
      <c r="C50" s="53">
        <v>22</v>
      </c>
      <c r="D50" s="53">
        <f t="shared" si="10"/>
        <v>16.126000000000001</v>
      </c>
      <c r="E50" s="53">
        <f t="shared" si="11"/>
        <v>12.056000000000001</v>
      </c>
      <c r="F50" s="53">
        <f t="shared" si="12"/>
        <v>8.1839999999999993</v>
      </c>
      <c r="G50" s="53">
        <f t="shared" si="13"/>
        <v>5.6760000000000002</v>
      </c>
      <c r="H50" s="54">
        <f t="shared" si="14"/>
        <v>4.1580000000000004</v>
      </c>
    </row>
    <row r="51" spans="2:8" x14ac:dyDescent="0.25">
      <c r="B51" s="49" t="s">
        <v>256</v>
      </c>
      <c r="C51" s="53">
        <v>38</v>
      </c>
      <c r="D51" s="53">
        <f t="shared" si="10"/>
        <v>27.853999999999999</v>
      </c>
      <c r="E51" s="53">
        <f t="shared" si="11"/>
        <v>20.824000000000002</v>
      </c>
      <c r="F51" s="53">
        <f t="shared" si="12"/>
        <v>14.135999999999999</v>
      </c>
      <c r="G51" s="53">
        <f t="shared" si="13"/>
        <v>9.8040000000000003</v>
      </c>
      <c r="H51" s="54">
        <f t="shared" si="14"/>
        <v>7.1820000000000004</v>
      </c>
    </row>
    <row r="52" spans="2:8" x14ac:dyDescent="0.25">
      <c r="B52" s="49" t="s">
        <v>257</v>
      </c>
      <c r="C52" s="53">
        <v>5.2</v>
      </c>
      <c r="D52" s="53">
        <f t="shared" si="10"/>
        <v>3.8115999999999999</v>
      </c>
      <c r="E52" s="53">
        <f t="shared" si="11"/>
        <v>2.8496000000000001</v>
      </c>
      <c r="F52" s="53">
        <f t="shared" si="12"/>
        <v>1.9344000000000001</v>
      </c>
      <c r="G52" s="53">
        <f t="shared" si="13"/>
        <v>1.3416000000000001</v>
      </c>
      <c r="H52" s="54">
        <f t="shared" si="14"/>
        <v>0.98280000000000001</v>
      </c>
    </row>
    <row r="53" spans="2:8" x14ac:dyDescent="0.25">
      <c r="B53" s="49" t="s">
        <v>258</v>
      </c>
      <c r="C53" s="53">
        <v>20</v>
      </c>
      <c r="D53" s="53">
        <f t="shared" si="10"/>
        <v>14.66</v>
      </c>
      <c r="E53" s="53">
        <f t="shared" si="11"/>
        <v>10.96</v>
      </c>
      <c r="F53" s="53">
        <f t="shared" si="12"/>
        <v>7.4399999999999995</v>
      </c>
      <c r="G53" s="53">
        <f t="shared" si="13"/>
        <v>5.16</v>
      </c>
      <c r="H53" s="54">
        <f t="shared" si="14"/>
        <v>3.7800000000000002</v>
      </c>
    </row>
    <row r="54" spans="2:8" x14ac:dyDescent="0.25">
      <c r="B54" s="49" t="s">
        <v>259</v>
      </c>
      <c r="C54" s="53">
        <v>30</v>
      </c>
      <c r="D54" s="53">
        <f t="shared" si="10"/>
        <v>21.99</v>
      </c>
      <c r="E54" s="53">
        <f t="shared" si="11"/>
        <v>16.440000000000001</v>
      </c>
      <c r="F54" s="53">
        <f t="shared" si="12"/>
        <v>11.16</v>
      </c>
      <c r="G54" s="53">
        <f t="shared" si="13"/>
        <v>7.74</v>
      </c>
      <c r="H54" s="54">
        <f t="shared" si="14"/>
        <v>5.67</v>
      </c>
    </row>
    <row r="55" spans="2:8" x14ac:dyDescent="0.25">
      <c r="B55" s="49" t="s">
        <v>260</v>
      </c>
      <c r="C55" s="53">
        <v>40</v>
      </c>
      <c r="D55" s="53">
        <f t="shared" si="10"/>
        <v>29.32</v>
      </c>
      <c r="E55" s="53">
        <f t="shared" si="11"/>
        <v>21.92</v>
      </c>
      <c r="F55" s="53">
        <f t="shared" si="12"/>
        <v>14.879999999999999</v>
      </c>
      <c r="G55" s="53">
        <f t="shared" si="13"/>
        <v>10.32</v>
      </c>
      <c r="H55" s="54">
        <f t="shared" si="14"/>
        <v>7.5600000000000005</v>
      </c>
    </row>
    <row r="56" spans="2:8" x14ac:dyDescent="0.25">
      <c r="B56" s="49" t="s">
        <v>261</v>
      </c>
      <c r="C56" s="53">
        <v>12</v>
      </c>
      <c r="D56" s="53">
        <f t="shared" si="10"/>
        <v>8.7959999999999994</v>
      </c>
      <c r="E56" s="53">
        <f t="shared" si="11"/>
        <v>6.5760000000000005</v>
      </c>
      <c r="F56" s="53">
        <f t="shared" si="12"/>
        <v>4.4640000000000004</v>
      </c>
      <c r="G56" s="53">
        <f t="shared" si="13"/>
        <v>3.0960000000000001</v>
      </c>
      <c r="H56" s="54">
        <f t="shared" si="14"/>
        <v>2.2679999999999998</v>
      </c>
    </row>
    <row r="57" spans="2:8" x14ac:dyDescent="0.25">
      <c r="B57" s="49" t="s">
        <v>262</v>
      </c>
      <c r="C57" s="53">
        <v>28</v>
      </c>
      <c r="D57" s="53">
        <f t="shared" si="10"/>
        <v>20.524000000000001</v>
      </c>
      <c r="E57" s="53">
        <f t="shared" si="11"/>
        <v>15.344000000000001</v>
      </c>
      <c r="F57" s="53">
        <f t="shared" si="12"/>
        <v>10.416</v>
      </c>
      <c r="G57" s="53">
        <f t="shared" si="13"/>
        <v>7.2240000000000002</v>
      </c>
      <c r="H57" s="54">
        <f t="shared" si="14"/>
        <v>5.2919999999999998</v>
      </c>
    </row>
    <row r="58" spans="2:8" x14ac:dyDescent="0.25">
      <c r="B58" s="49" t="s">
        <v>262</v>
      </c>
      <c r="C58" s="53">
        <v>35</v>
      </c>
      <c r="D58" s="53">
        <f t="shared" si="10"/>
        <v>25.655000000000001</v>
      </c>
      <c r="E58" s="53">
        <f t="shared" si="11"/>
        <v>19.18</v>
      </c>
      <c r="F58" s="53">
        <f t="shared" si="12"/>
        <v>13.02</v>
      </c>
      <c r="G58" s="53">
        <f t="shared" si="13"/>
        <v>9.0300000000000011</v>
      </c>
      <c r="H58" s="54">
        <f t="shared" si="14"/>
        <v>6.6150000000000002</v>
      </c>
    </row>
    <row r="59" spans="2:8" x14ac:dyDescent="0.25">
      <c r="B59" s="49" t="s">
        <v>263</v>
      </c>
      <c r="C59" s="53">
        <v>43</v>
      </c>
      <c r="D59" s="53">
        <f t="shared" si="10"/>
        <v>31.518999999999998</v>
      </c>
      <c r="E59" s="53">
        <f t="shared" si="11"/>
        <v>23.564</v>
      </c>
      <c r="F59" s="53">
        <f t="shared" si="12"/>
        <v>15.996</v>
      </c>
      <c r="G59" s="53">
        <f t="shared" si="13"/>
        <v>11.094000000000001</v>
      </c>
      <c r="H59" s="54">
        <f t="shared" si="14"/>
        <v>8.1270000000000007</v>
      </c>
    </row>
    <row r="60" spans="2:8" x14ac:dyDescent="0.25">
      <c r="B60" s="49" t="s">
        <v>264</v>
      </c>
      <c r="C60" s="53">
        <v>19</v>
      </c>
      <c r="D60" s="53">
        <f t="shared" si="10"/>
        <v>13.927</v>
      </c>
      <c r="E60" s="53">
        <f t="shared" si="11"/>
        <v>10.412000000000001</v>
      </c>
      <c r="F60" s="53">
        <f t="shared" si="12"/>
        <v>7.0679999999999996</v>
      </c>
      <c r="G60" s="53">
        <f t="shared" si="13"/>
        <v>4.9020000000000001</v>
      </c>
      <c r="H60" s="54">
        <f t="shared" si="14"/>
        <v>3.5910000000000002</v>
      </c>
    </row>
    <row r="61" spans="2:8" x14ac:dyDescent="0.25">
      <c r="B61" s="49" t="s">
        <v>265</v>
      </c>
      <c r="C61" s="53">
        <v>33</v>
      </c>
      <c r="D61" s="53">
        <f t="shared" si="10"/>
        <v>24.189</v>
      </c>
      <c r="E61" s="53">
        <f t="shared" si="11"/>
        <v>18.084000000000003</v>
      </c>
      <c r="F61" s="53">
        <f t="shared" si="12"/>
        <v>12.276</v>
      </c>
      <c r="G61" s="53">
        <f t="shared" si="13"/>
        <v>8.5139999999999993</v>
      </c>
      <c r="H61" s="54">
        <f t="shared" si="14"/>
        <v>6.2370000000000001</v>
      </c>
    </row>
    <row r="62" spans="2:8" x14ac:dyDescent="0.25">
      <c r="B62" s="49" t="s">
        <v>266</v>
      </c>
      <c r="C62" s="53">
        <v>39</v>
      </c>
      <c r="D62" s="53">
        <f t="shared" si="10"/>
        <v>28.587</v>
      </c>
      <c r="E62" s="53">
        <f t="shared" si="11"/>
        <v>21.372</v>
      </c>
      <c r="F62" s="53">
        <f t="shared" si="12"/>
        <v>14.507999999999999</v>
      </c>
      <c r="G62" s="53">
        <f t="shared" si="13"/>
        <v>10.062000000000001</v>
      </c>
      <c r="H62" s="54">
        <f t="shared" si="14"/>
        <v>7.3710000000000004</v>
      </c>
    </row>
    <row r="63" spans="2:8" x14ac:dyDescent="0.25">
      <c r="B63" s="49" t="s">
        <v>267</v>
      </c>
      <c r="C63" s="53">
        <v>45</v>
      </c>
      <c r="D63" s="53">
        <f t="shared" si="10"/>
        <v>32.984999999999999</v>
      </c>
      <c r="E63" s="53">
        <f t="shared" si="11"/>
        <v>24.660000000000004</v>
      </c>
      <c r="F63" s="53">
        <f t="shared" si="12"/>
        <v>16.739999999999998</v>
      </c>
      <c r="G63" s="53">
        <f t="shared" si="13"/>
        <v>11.61</v>
      </c>
      <c r="H63" s="54">
        <f t="shared" si="14"/>
        <v>8.5050000000000008</v>
      </c>
    </row>
    <row r="64" spans="2:8" x14ac:dyDescent="0.25">
      <c r="B64" s="49" t="s">
        <v>268</v>
      </c>
      <c r="C64" s="53">
        <v>28</v>
      </c>
      <c r="D64" s="53">
        <f t="shared" si="10"/>
        <v>20.524000000000001</v>
      </c>
      <c r="E64" s="53">
        <f t="shared" si="11"/>
        <v>15.344000000000001</v>
      </c>
      <c r="F64" s="53">
        <f t="shared" si="12"/>
        <v>10.416</v>
      </c>
      <c r="G64" s="53">
        <f t="shared" si="13"/>
        <v>7.2240000000000002</v>
      </c>
      <c r="H64" s="54">
        <f t="shared" si="14"/>
        <v>5.2919999999999998</v>
      </c>
    </row>
    <row r="65" spans="2:8" x14ac:dyDescent="0.25">
      <c r="B65" s="49" t="s">
        <v>269</v>
      </c>
      <c r="C65" s="53">
        <v>36</v>
      </c>
      <c r="D65" s="53">
        <f t="shared" si="10"/>
        <v>26.387999999999998</v>
      </c>
      <c r="E65" s="53">
        <f t="shared" si="11"/>
        <v>19.728000000000002</v>
      </c>
      <c r="F65" s="53">
        <f t="shared" si="12"/>
        <v>13.391999999999999</v>
      </c>
      <c r="G65" s="53">
        <f t="shared" si="13"/>
        <v>9.2880000000000003</v>
      </c>
      <c r="H65" s="54">
        <f t="shared" si="14"/>
        <v>6.8040000000000003</v>
      </c>
    </row>
    <row r="66" spans="2:8" x14ac:dyDescent="0.25">
      <c r="B66" s="49" t="s">
        <v>270</v>
      </c>
      <c r="C66" s="53">
        <v>42</v>
      </c>
      <c r="D66" s="53">
        <f t="shared" si="10"/>
        <v>30.785999999999998</v>
      </c>
      <c r="E66" s="53">
        <f t="shared" si="11"/>
        <v>23.016000000000002</v>
      </c>
      <c r="F66" s="53">
        <f t="shared" si="12"/>
        <v>15.624000000000001</v>
      </c>
      <c r="G66" s="53">
        <f t="shared" si="13"/>
        <v>10.836</v>
      </c>
      <c r="H66" s="54">
        <f t="shared" si="14"/>
        <v>7.9379999999999997</v>
      </c>
    </row>
    <row r="67" spans="2:8" x14ac:dyDescent="0.25">
      <c r="B67" s="49" t="s">
        <v>271</v>
      </c>
      <c r="C67" s="53">
        <v>46</v>
      </c>
      <c r="D67" s="53">
        <f t="shared" si="10"/>
        <v>33.717999999999996</v>
      </c>
      <c r="E67" s="53">
        <f t="shared" si="11"/>
        <v>25.208000000000002</v>
      </c>
      <c r="F67" s="53">
        <f t="shared" si="12"/>
        <v>17.111999999999998</v>
      </c>
      <c r="G67" s="53">
        <f t="shared" si="13"/>
        <v>11.868</v>
      </c>
      <c r="H67" s="54">
        <f t="shared" si="14"/>
        <v>8.6940000000000008</v>
      </c>
    </row>
    <row r="68" spans="2:8" x14ac:dyDescent="0.25">
      <c r="B68" s="49" t="s">
        <v>272</v>
      </c>
      <c r="C68" s="53">
        <v>45</v>
      </c>
      <c r="D68" s="53">
        <f t="shared" si="10"/>
        <v>32.984999999999999</v>
      </c>
      <c r="E68" s="53">
        <f t="shared" si="11"/>
        <v>24.660000000000004</v>
      </c>
      <c r="F68" s="53">
        <f t="shared" si="12"/>
        <v>16.739999999999998</v>
      </c>
      <c r="G68" s="53">
        <f t="shared" si="13"/>
        <v>11.61</v>
      </c>
      <c r="H68" s="54">
        <f t="shared" si="14"/>
        <v>8.5050000000000008</v>
      </c>
    </row>
    <row r="69" spans="2:8" x14ac:dyDescent="0.25">
      <c r="B69" s="49" t="s">
        <v>273</v>
      </c>
      <c r="C69" s="53">
        <v>48</v>
      </c>
      <c r="D69" s="53">
        <f t="shared" ref="D69:D108" si="15">C69*0.733</f>
        <v>35.183999999999997</v>
      </c>
      <c r="E69" s="53">
        <f t="shared" ref="E69:E108" si="16">C69*0.548</f>
        <v>26.304000000000002</v>
      </c>
      <c r="F69" s="53">
        <f t="shared" ref="F69:F108" si="17">C69*0.372</f>
        <v>17.856000000000002</v>
      </c>
      <c r="G69" s="53">
        <f t="shared" ref="G69:G108" si="18">C69*0.258</f>
        <v>12.384</v>
      </c>
      <c r="H69" s="54">
        <f t="shared" ref="H69:H108" si="19">C69*0.189</f>
        <v>9.0719999999999992</v>
      </c>
    </row>
    <row r="70" spans="2:8" x14ac:dyDescent="0.25">
      <c r="B70" s="49" t="s">
        <v>274</v>
      </c>
      <c r="C70" s="53">
        <v>51</v>
      </c>
      <c r="D70" s="53">
        <f t="shared" si="15"/>
        <v>37.383000000000003</v>
      </c>
      <c r="E70" s="53">
        <f t="shared" si="16"/>
        <v>27.948</v>
      </c>
      <c r="F70" s="53">
        <f t="shared" si="17"/>
        <v>18.972000000000001</v>
      </c>
      <c r="G70" s="53">
        <f t="shared" si="18"/>
        <v>13.158000000000001</v>
      </c>
      <c r="H70" s="54">
        <f t="shared" si="19"/>
        <v>9.6389999999999993</v>
      </c>
    </row>
    <row r="71" spans="2:8" x14ac:dyDescent="0.25">
      <c r="B71" s="49" t="s">
        <v>275</v>
      </c>
      <c r="C71" s="53">
        <v>52</v>
      </c>
      <c r="D71" s="53">
        <f t="shared" si="15"/>
        <v>38.116</v>
      </c>
      <c r="E71" s="53">
        <f t="shared" si="16"/>
        <v>28.496000000000002</v>
      </c>
      <c r="F71" s="53">
        <f t="shared" si="17"/>
        <v>19.344000000000001</v>
      </c>
      <c r="G71" s="53">
        <f t="shared" si="18"/>
        <v>13.416</v>
      </c>
      <c r="H71" s="54">
        <f t="shared" si="19"/>
        <v>9.8279999999999994</v>
      </c>
    </row>
    <row r="72" spans="2:8" x14ac:dyDescent="0.25">
      <c r="B72" s="49" t="s">
        <v>276</v>
      </c>
      <c r="C72" s="53">
        <v>0.55000000000000004</v>
      </c>
      <c r="D72" s="53">
        <f t="shared" si="15"/>
        <v>0.40315000000000001</v>
      </c>
      <c r="E72" s="53">
        <f t="shared" si="16"/>
        <v>0.30140000000000006</v>
      </c>
      <c r="F72" s="53">
        <f t="shared" si="17"/>
        <v>0.2046</v>
      </c>
      <c r="G72" s="53">
        <f t="shared" si="18"/>
        <v>0.14190000000000003</v>
      </c>
      <c r="H72" s="54">
        <f t="shared" si="19"/>
        <v>0.10395000000000001</v>
      </c>
    </row>
    <row r="73" spans="2:8" x14ac:dyDescent="0.25">
      <c r="B73" s="49" t="s">
        <v>277</v>
      </c>
      <c r="C73" s="53">
        <v>0.59</v>
      </c>
      <c r="D73" s="53">
        <f t="shared" si="15"/>
        <v>0.43246999999999997</v>
      </c>
      <c r="E73" s="53">
        <f t="shared" si="16"/>
        <v>0.32332</v>
      </c>
      <c r="F73" s="53">
        <f t="shared" si="17"/>
        <v>0.21947999999999998</v>
      </c>
      <c r="G73" s="53">
        <f t="shared" si="18"/>
        <v>0.15221999999999999</v>
      </c>
      <c r="H73" s="54">
        <f t="shared" si="19"/>
        <v>0.11151</v>
      </c>
    </row>
    <row r="74" spans="2:8" x14ac:dyDescent="0.25">
      <c r="B74" s="49" t="s">
        <v>278</v>
      </c>
      <c r="C74" s="53">
        <v>0.61</v>
      </c>
      <c r="D74" s="53">
        <f t="shared" si="15"/>
        <v>0.44712999999999997</v>
      </c>
      <c r="E74" s="53">
        <f t="shared" si="16"/>
        <v>0.33428000000000002</v>
      </c>
      <c r="F74" s="53">
        <f t="shared" si="17"/>
        <v>0.22691999999999998</v>
      </c>
      <c r="G74" s="53">
        <f t="shared" si="18"/>
        <v>0.15737999999999999</v>
      </c>
      <c r="H74" s="54">
        <f t="shared" si="19"/>
        <v>0.11529</v>
      </c>
    </row>
    <row r="75" spans="2:8" x14ac:dyDescent="0.25">
      <c r="B75" s="49" t="s">
        <v>279</v>
      </c>
      <c r="C75" s="53">
        <v>0.68</v>
      </c>
      <c r="D75" s="53">
        <f t="shared" si="15"/>
        <v>0.49844000000000005</v>
      </c>
      <c r="E75" s="53">
        <f t="shared" si="16"/>
        <v>0.37264000000000008</v>
      </c>
      <c r="F75" s="53">
        <f t="shared" si="17"/>
        <v>0.25296000000000002</v>
      </c>
      <c r="G75" s="53">
        <f t="shared" si="18"/>
        <v>0.17544000000000001</v>
      </c>
      <c r="H75" s="54">
        <f t="shared" si="19"/>
        <v>0.12852000000000002</v>
      </c>
    </row>
    <row r="76" spans="2:8" x14ac:dyDescent="0.25">
      <c r="B76" s="49" t="s">
        <v>280</v>
      </c>
      <c r="C76" s="53">
        <v>0.68</v>
      </c>
      <c r="D76" s="53">
        <f t="shared" si="15"/>
        <v>0.49844000000000005</v>
      </c>
      <c r="E76" s="53">
        <f t="shared" si="16"/>
        <v>0.37264000000000008</v>
      </c>
      <c r="F76" s="53">
        <f t="shared" si="17"/>
        <v>0.25296000000000002</v>
      </c>
      <c r="G76" s="53">
        <f t="shared" si="18"/>
        <v>0.17544000000000001</v>
      </c>
      <c r="H76" s="54">
        <f t="shared" si="19"/>
        <v>0.12852000000000002</v>
      </c>
    </row>
    <row r="77" spans="2:8" x14ac:dyDescent="0.25">
      <c r="B77" s="49" t="s">
        <v>281</v>
      </c>
      <c r="C77" s="53">
        <v>0.69</v>
      </c>
      <c r="D77" s="53">
        <f t="shared" si="15"/>
        <v>0.50576999999999994</v>
      </c>
      <c r="E77" s="53">
        <f t="shared" si="16"/>
        <v>0.37812000000000001</v>
      </c>
      <c r="F77" s="53">
        <f t="shared" si="17"/>
        <v>0.25667999999999996</v>
      </c>
      <c r="G77" s="53">
        <f t="shared" si="18"/>
        <v>0.17801999999999998</v>
      </c>
      <c r="H77" s="54">
        <f t="shared" si="19"/>
        <v>0.13041</v>
      </c>
    </row>
    <row r="78" spans="2:8" x14ac:dyDescent="0.25">
      <c r="B78" s="49" t="s">
        <v>282</v>
      </c>
      <c r="C78" s="53">
        <v>0.8</v>
      </c>
      <c r="D78" s="53">
        <f t="shared" si="15"/>
        <v>0.58640000000000003</v>
      </c>
      <c r="E78" s="53">
        <f t="shared" si="16"/>
        <v>0.43840000000000007</v>
      </c>
      <c r="F78" s="53">
        <f t="shared" si="17"/>
        <v>0.29760000000000003</v>
      </c>
      <c r="G78" s="53">
        <f t="shared" si="18"/>
        <v>0.20640000000000003</v>
      </c>
      <c r="H78" s="54">
        <f t="shared" si="19"/>
        <v>0.1512</v>
      </c>
    </row>
    <row r="79" spans="2:8" x14ac:dyDescent="0.25">
      <c r="B79" s="49" t="s">
        <v>283</v>
      </c>
      <c r="C79" s="53">
        <v>0.73</v>
      </c>
      <c r="D79" s="53">
        <f t="shared" si="15"/>
        <v>0.53508999999999995</v>
      </c>
      <c r="E79" s="53">
        <f t="shared" si="16"/>
        <v>0.40004000000000001</v>
      </c>
      <c r="F79" s="53">
        <f t="shared" si="17"/>
        <v>0.27155999999999997</v>
      </c>
      <c r="G79" s="53">
        <f t="shared" si="18"/>
        <v>0.18834000000000001</v>
      </c>
      <c r="H79" s="54">
        <f t="shared" si="19"/>
        <v>0.13797000000000001</v>
      </c>
    </row>
    <row r="80" spans="2:8" x14ac:dyDescent="0.25">
      <c r="B80" s="49" t="s">
        <v>284</v>
      </c>
      <c r="C80" s="53">
        <v>0.81</v>
      </c>
      <c r="D80" s="53">
        <f t="shared" si="15"/>
        <v>0.59372999999999998</v>
      </c>
      <c r="E80" s="53">
        <f t="shared" si="16"/>
        <v>0.44388000000000005</v>
      </c>
      <c r="F80" s="53">
        <f t="shared" si="17"/>
        <v>0.30132000000000003</v>
      </c>
      <c r="G80" s="53">
        <f t="shared" si="18"/>
        <v>0.20898000000000003</v>
      </c>
      <c r="H80" s="54">
        <f t="shared" si="19"/>
        <v>0.15309</v>
      </c>
    </row>
    <row r="81" spans="2:8" x14ac:dyDescent="0.25">
      <c r="B81" s="49" t="s">
        <v>285</v>
      </c>
      <c r="C81" s="53">
        <v>0.9</v>
      </c>
      <c r="D81" s="53">
        <f t="shared" si="15"/>
        <v>0.65969999999999995</v>
      </c>
      <c r="E81" s="53">
        <f t="shared" si="16"/>
        <v>0.49320000000000003</v>
      </c>
      <c r="F81" s="53">
        <f t="shared" si="17"/>
        <v>0.33479999999999999</v>
      </c>
      <c r="G81" s="53">
        <f t="shared" si="18"/>
        <v>0.23220000000000002</v>
      </c>
      <c r="H81" s="54">
        <f t="shared" si="19"/>
        <v>0.1701</v>
      </c>
    </row>
    <row r="82" spans="2:8" x14ac:dyDescent="0.25">
      <c r="B82" s="49" t="s">
        <v>286</v>
      </c>
      <c r="C82" s="53">
        <v>0.9</v>
      </c>
      <c r="D82" s="53">
        <f t="shared" si="15"/>
        <v>0.65969999999999995</v>
      </c>
      <c r="E82" s="53">
        <f t="shared" si="16"/>
        <v>0.49320000000000003</v>
      </c>
      <c r="F82" s="53">
        <f t="shared" si="17"/>
        <v>0.33479999999999999</v>
      </c>
      <c r="G82" s="53">
        <f t="shared" si="18"/>
        <v>0.23220000000000002</v>
      </c>
      <c r="H82" s="54">
        <f t="shared" si="19"/>
        <v>0.1701</v>
      </c>
    </row>
    <row r="83" spans="2:8" x14ac:dyDescent="0.25">
      <c r="B83" s="49" t="s">
        <v>287</v>
      </c>
      <c r="C83" s="53">
        <v>1</v>
      </c>
      <c r="D83" s="53">
        <f t="shared" si="15"/>
        <v>0.73299999999999998</v>
      </c>
      <c r="E83" s="53">
        <f t="shared" si="16"/>
        <v>0.54800000000000004</v>
      </c>
      <c r="F83" s="53">
        <f t="shared" si="17"/>
        <v>0.372</v>
      </c>
      <c r="G83" s="53">
        <f t="shared" si="18"/>
        <v>0.25800000000000001</v>
      </c>
      <c r="H83" s="54">
        <f t="shared" si="19"/>
        <v>0.189</v>
      </c>
    </row>
    <row r="84" spans="2:8" x14ac:dyDescent="0.25">
      <c r="B84" s="49" t="s">
        <v>288</v>
      </c>
      <c r="C84" s="53">
        <v>0.73</v>
      </c>
      <c r="D84" s="53">
        <f t="shared" si="15"/>
        <v>0.53508999999999995</v>
      </c>
      <c r="E84" s="53">
        <f t="shared" si="16"/>
        <v>0.40004000000000001</v>
      </c>
      <c r="F84" s="53">
        <f t="shared" si="17"/>
        <v>0.27155999999999997</v>
      </c>
      <c r="G84" s="53">
        <f t="shared" si="18"/>
        <v>0.18834000000000001</v>
      </c>
      <c r="H84" s="54">
        <f t="shared" si="19"/>
        <v>0.13797000000000001</v>
      </c>
    </row>
    <row r="85" spans="2:8" x14ac:dyDescent="0.25">
      <c r="B85" s="49" t="s">
        <v>289</v>
      </c>
      <c r="C85" s="53">
        <v>1.0900000000000001</v>
      </c>
      <c r="D85" s="53">
        <f t="shared" si="15"/>
        <v>0.79897000000000007</v>
      </c>
      <c r="E85" s="53">
        <f t="shared" si="16"/>
        <v>0.59732000000000007</v>
      </c>
      <c r="F85" s="53">
        <f t="shared" si="17"/>
        <v>0.40548000000000001</v>
      </c>
      <c r="G85" s="53">
        <f t="shared" si="18"/>
        <v>0.28122000000000003</v>
      </c>
      <c r="H85" s="54">
        <f t="shared" si="19"/>
        <v>0.20601000000000003</v>
      </c>
    </row>
    <row r="86" spans="2:8" x14ac:dyDescent="0.25">
      <c r="B86" s="49" t="s">
        <v>290</v>
      </c>
      <c r="C86" s="53">
        <v>1.6</v>
      </c>
      <c r="D86" s="53">
        <f t="shared" si="15"/>
        <v>1.1728000000000001</v>
      </c>
      <c r="E86" s="53">
        <f t="shared" si="16"/>
        <v>0.87680000000000013</v>
      </c>
      <c r="F86" s="53">
        <f t="shared" si="17"/>
        <v>0.59520000000000006</v>
      </c>
      <c r="G86" s="53">
        <f t="shared" si="18"/>
        <v>0.41280000000000006</v>
      </c>
      <c r="H86" s="54">
        <f t="shared" si="19"/>
        <v>0.3024</v>
      </c>
    </row>
    <row r="87" spans="2:8" x14ac:dyDescent="0.25">
      <c r="B87" s="49" t="s">
        <v>291</v>
      </c>
      <c r="C87" s="53">
        <v>3.3</v>
      </c>
      <c r="D87" s="53">
        <f t="shared" si="15"/>
        <v>2.4188999999999998</v>
      </c>
      <c r="E87" s="53">
        <f t="shared" si="16"/>
        <v>1.8084</v>
      </c>
      <c r="F87" s="53">
        <f t="shared" si="17"/>
        <v>1.2276</v>
      </c>
      <c r="G87" s="53">
        <f t="shared" si="18"/>
        <v>0.85139999999999993</v>
      </c>
      <c r="H87" s="54">
        <f t="shared" si="19"/>
        <v>0.62369999999999992</v>
      </c>
    </row>
    <row r="88" spans="2:8" x14ac:dyDescent="0.25">
      <c r="B88" s="49" t="s">
        <v>292</v>
      </c>
      <c r="C88" s="53">
        <v>5</v>
      </c>
      <c r="D88" s="53">
        <f t="shared" si="15"/>
        <v>3.665</v>
      </c>
      <c r="E88" s="53">
        <f t="shared" si="16"/>
        <v>2.74</v>
      </c>
      <c r="F88" s="53">
        <f t="shared" si="17"/>
        <v>1.8599999999999999</v>
      </c>
      <c r="G88" s="53">
        <f t="shared" si="18"/>
        <v>1.29</v>
      </c>
      <c r="H88" s="54">
        <f t="shared" si="19"/>
        <v>0.94500000000000006</v>
      </c>
    </row>
    <row r="89" spans="2:8" x14ac:dyDescent="0.25">
      <c r="B89" s="49" t="s">
        <v>293</v>
      </c>
      <c r="C89" s="53">
        <v>6.5</v>
      </c>
      <c r="D89" s="53">
        <f t="shared" si="15"/>
        <v>4.7645</v>
      </c>
      <c r="E89" s="53">
        <f t="shared" si="16"/>
        <v>3.5620000000000003</v>
      </c>
      <c r="F89" s="53">
        <f t="shared" si="17"/>
        <v>2.4180000000000001</v>
      </c>
      <c r="G89" s="53">
        <f t="shared" si="18"/>
        <v>1.677</v>
      </c>
      <c r="H89" s="54">
        <f t="shared" si="19"/>
        <v>1.2284999999999999</v>
      </c>
    </row>
    <row r="90" spans="2:8" x14ac:dyDescent="0.25">
      <c r="B90" s="49" t="s">
        <v>294</v>
      </c>
      <c r="C90" s="53">
        <v>1</v>
      </c>
      <c r="D90" s="53">
        <f t="shared" si="15"/>
        <v>0.73299999999999998</v>
      </c>
      <c r="E90" s="53">
        <f t="shared" si="16"/>
        <v>0.54800000000000004</v>
      </c>
      <c r="F90" s="53">
        <f t="shared" si="17"/>
        <v>0.372</v>
      </c>
      <c r="G90" s="53">
        <f t="shared" si="18"/>
        <v>0.25800000000000001</v>
      </c>
      <c r="H90" s="54">
        <f t="shared" si="19"/>
        <v>0.189</v>
      </c>
    </row>
    <row r="91" spans="2:8" x14ac:dyDescent="0.25">
      <c r="B91" s="49" t="s">
        <v>295</v>
      </c>
      <c r="C91" s="53">
        <v>1.9</v>
      </c>
      <c r="D91" s="53">
        <f t="shared" si="15"/>
        <v>1.3926999999999998</v>
      </c>
      <c r="E91" s="53">
        <f t="shared" si="16"/>
        <v>1.0412000000000001</v>
      </c>
      <c r="F91" s="53">
        <f t="shared" si="17"/>
        <v>0.70679999999999998</v>
      </c>
      <c r="G91" s="53">
        <f t="shared" si="18"/>
        <v>0.49019999999999997</v>
      </c>
      <c r="H91" s="54">
        <f t="shared" si="19"/>
        <v>0.35909999999999997</v>
      </c>
    </row>
    <row r="92" spans="2:8" x14ac:dyDescent="0.25">
      <c r="B92" s="49" t="s">
        <v>296</v>
      </c>
      <c r="C92" s="53">
        <v>2.7</v>
      </c>
      <c r="D92" s="53">
        <f t="shared" si="15"/>
        <v>1.9791000000000001</v>
      </c>
      <c r="E92" s="53">
        <f t="shared" si="16"/>
        <v>1.4796000000000002</v>
      </c>
      <c r="F92" s="53">
        <f t="shared" si="17"/>
        <v>1.0044</v>
      </c>
      <c r="G92" s="53">
        <f t="shared" si="18"/>
        <v>0.69660000000000011</v>
      </c>
      <c r="H92" s="54">
        <f t="shared" si="19"/>
        <v>0.51030000000000009</v>
      </c>
    </row>
    <row r="93" spans="2:8" x14ac:dyDescent="0.25">
      <c r="B93" s="49" t="s">
        <v>297</v>
      </c>
      <c r="C93" s="53">
        <v>1.2</v>
      </c>
      <c r="D93" s="53">
        <f t="shared" si="15"/>
        <v>0.87959999999999994</v>
      </c>
      <c r="E93" s="53">
        <f t="shared" si="16"/>
        <v>0.65760000000000007</v>
      </c>
      <c r="F93" s="53">
        <f t="shared" si="17"/>
        <v>0.44639999999999996</v>
      </c>
      <c r="G93" s="53">
        <f t="shared" si="18"/>
        <v>0.30959999999999999</v>
      </c>
      <c r="H93" s="54">
        <f t="shared" si="19"/>
        <v>0.2268</v>
      </c>
    </row>
    <row r="94" spans="2:8" x14ac:dyDescent="0.25">
      <c r="B94" s="49" t="s">
        <v>298</v>
      </c>
      <c r="C94" s="53">
        <v>3.7</v>
      </c>
      <c r="D94" s="53">
        <f t="shared" si="15"/>
        <v>2.7121</v>
      </c>
      <c r="E94" s="53">
        <f t="shared" si="16"/>
        <v>2.0276000000000001</v>
      </c>
      <c r="F94" s="53">
        <f t="shared" si="17"/>
        <v>1.3764000000000001</v>
      </c>
      <c r="G94" s="53">
        <f t="shared" si="18"/>
        <v>0.95460000000000012</v>
      </c>
      <c r="H94" s="54">
        <f t="shared" si="19"/>
        <v>0.69930000000000003</v>
      </c>
    </row>
    <row r="95" spans="2:8" x14ac:dyDescent="0.25">
      <c r="B95" s="49" t="s">
        <v>299</v>
      </c>
      <c r="C95" s="53">
        <v>11</v>
      </c>
      <c r="D95" s="53">
        <f t="shared" si="15"/>
        <v>8.0630000000000006</v>
      </c>
      <c r="E95" s="53">
        <f t="shared" si="16"/>
        <v>6.0280000000000005</v>
      </c>
      <c r="F95" s="53">
        <f t="shared" si="17"/>
        <v>4.0919999999999996</v>
      </c>
      <c r="G95" s="53">
        <f t="shared" si="18"/>
        <v>2.8380000000000001</v>
      </c>
      <c r="H95" s="54">
        <f t="shared" si="19"/>
        <v>2.0790000000000002</v>
      </c>
    </row>
    <row r="96" spans="2:8" x14ac:dyDescent="0.25">
      <c r="B96" s="49" t="s">
        <v>300</v>
      </c>
      <c r="C96" s="53">
        <v>14</v>
      </c>
      <c r="D96" s="53">
        <f t="shared" si="15"/>
        <v>10.262</v>
      </c>
      <c r="E96" s="53">
        <f t="shared" si="16"/>
        <v>7.6720000000000006</v>
      </c>
      <c r="F96" s="53">
        <f t="shared" si="17"/>
        <v>5.2080000000000002</v>
      </c>
      <c r="G96" s="53">
        <f t="shared" si="18"/>
        <v>3.6120000000000001</v>
      </c>
      <c r="H96" s="54">
        <f t="shared" si="19"/>
        <v>2.6459999999999999</v>
      </c>
    </row>
    <row r="97" spans="2:8" x14ac:dyDescent="0.25">
      <c r="B97" s="49" t="s">
        <v>301</v>
      </c>
      <c r="C97" s="53">
        <v>1.2</v>
      </c>
      <c r="D97" s="53">
        <f t="shared" si="15"/>
        <v>0.87959999999999994</v>
      </c>
      <c r="E97" s="53">
        <f t="shared" si="16"/>
        <v>0.65760000000000007</v>
      </c>
      <c r="F97" s="53">
        <f t="shared" si="17"/>
        <v>0.44639999999999996</v>
      </c>
      <c r="G97" s="53">
        <f t="shared" si="18"/>
        <v>0.30959999999999999</v>
      </c>
      <c r="H97" s="54">
        <f t="shared" si="19"/>
        <v>0.2268</v>
      </c>
    </row>
    <row r="98" spans="2:8" x14ac:dyDescent="0.25">
      <c r="B98" s="49" t="s">
        <v>302</v>
      </c>
      <c r="C98" s="53">
        <v>4.4000000000000004</v>
      </c>
      <c r="D98" s="53">
        <f t="shared" si="15"/>
        <v>3.2252000000000001</v>
      </c>
      <c r="E98" s="53">
        <f t="shared" si="16"/>
        <v>2.4112000000000005</v>
      </c>
      <c r="F98" s="53">
        <f t="shared" si="17"/>
        <v>1.6368</v>
      </c>
      <c r="G98" s="53">
        <f t="shared" si="18"/>
        <v>1.1352000000000002</v>
      </c>
      <c r="H98" s="54">
        <f t="shared" si="19"/>
        <v>0.83160000000000012</v>
      </c>
    </row>
    <row r="99" spans="2:8" x14ac:dyDescent="0.25">
      <c r="B99" s="49" t="s">
        <v>303</v>
      </c>
      <c r="C99" s="53">
        <v>17</v>
      </c>
      <c r="D99" s="53">
        <f t="shared" si="15"/>
        <v>12.461</v>
      </c>
      <c r="E99" s="53">
        <f t="shared" si="16"/>
        <v>9.3160000000000007</v>
      </c>
      <c r="F99" s="53">
        <f t="shared" si="17"/>
        <v>6.3239999999999998</v>
      </c>
      <c r="G99" s="53">
        <f t="shared" si="18"/>
        <v>4.3860000000000001</v>
      </c>
      <c r="H99" s="54">
        <f t="shared" si="19"/>
        <v>3.2130000000000001</v>
      </c>
    </row>
    <row r="100" spans="2:8" x14ac:dyDescent="0.25">
      <c r="B100" s="49" t="s">
        <v>304</v>
      </c>
      <c r="C100" s="53">
        <v>25</v>
      </c>
      <c r="D100" s="53">
        <f t="shared" si="15"/>
        <v>18.324999999999999</v>
      </c>
      <c r="E100" s="53">
        <f t="shared" si="16"/>
        <v>13.700000000000001</v>
      </c>
      <c r="F100" s="53">
        <f t="shared" si="17"/>
        <v>9.3000000000000007</v>
      </c>
      <c r="G100" s="53">
        <f t="shared" si="18"/>
        <v>6.45</v>
      </c>
      <c r="H100" s="54">
        <f t="shared" si="19"/>
        <v>4.7249999999999996</v>
      </c>
    </row>
    <row r="101" spans="2:8" x14ac:dyDescent="0.25">
      <c r="B101" s="49" t="s">
        <v>305</v>
      </c>
      <c r="C101" s="53">
        <v>1.2</v>
      </c>
      <c r="D101" s="53">
        <f t="shared" si="15"/>
        <v>0.87959999999999994</v>
      </c>
      <c r="E101" s="53">
        <f t="shared" si="16"/>
        <v>0.65760000000000007</v>
      </c>
      <c r="F101" s="53">
        <f t="shared" si="17"/>
        <v>0.44639999999999996</v>
      </c>
      <c r="G101" s="53">
        <f t="shared" si="18"/>
        <v>0.30959999999999999</v>
      </c>
      <c r="H101" s="54">
        <f t="shared" si="19"/>
        <v>0.2268</v>
      </c>
    </row>
    <row r="102" spans="2:8" x14ac:dyDescent="0.25">
      <c r="B102" s="49" t="s">
        <v>306</v>
      </c>
      <c r="C102" s="53">
        <v>4.5</v>
      </c>
      <c r="D102" s="53">
        <f t="shared" si="15"/>
        <v>3.2984999999999998</v>
      </c>
      <c r="E102" s="53">
        <f t="shared" si="16"/>
        <v>2.4660000000000002</v>
      </c>
      <c r="F102" s="53">
        <f t="shared" si="17"/>
        <v>1.6739999999999999</v>
      </c>
      <c r="G102" s="53">
        <f t="shared" si="18"/>
        <v>1.161</v>
      </c>
      <c r="H102" s="54">
        <f t="shared" si="19"/>
        <v>0.85050000000000003</v>
      </c>
    </row>
    <row r="103" spans="2:8" x14ac:dyDescent="0.25">
      <c r="B103" s="49" t="s">
        <v>307</v>
      </c>
      <c r="C103" s="53">
        <v>21</v>
      </c>
      <c r="D103" s="53">
        <f t="shared" si="15"/>
        <v>15.392999999999999</v>
      </c>
      <c r="E103" s="53">
        <f t="shared" si="16"/>
        <v>11.508000000000001</v>
      </c>
      <c r="F103" s="53">
        <f t="shared" si="17"/>
        <v>7.8120000000000003</v>
      </c>
      <c r="G103" s="53">
        <f t="shared" si="18"/>
        <v>5.4180000000000001</v>
      </c>
      <c r="H103" s="54">
        <f t="shared" si="19"/>
        <v>3.9689999999999999</v>
      </c>
    </row>
    <row r="104" spans="2:8" x14ac:dyDescent="0.25">
      <c r="B104" s="49" t="s">
        <v>308</v>
      </c>
      <c r="C104" s="53">
        <v>38</v>
      </c>
      <c r="D104" s="53">
        <f t="shared" si="15"/>
        <v>27.853999999999999</v>
      </c>
      <c r="E104" s="53">
        <f t="shared" si="16"/>
        <v>20.824000000000002</v>
      </c>
      <c r="F104" s="53">
        <f t="shared" si="17"/>
        <v>14.135999999999999</v>
      </c>
      <c r="G104" s="53">
        <f t="shared" si="18"/>
        <v>9.8040000000000003</v>
      </c>
      <c r="H104" s="54">
        <f t="shared" si="19"/>
        <v>7.1820000000000004</v>
      </c>
    </row>
    <row r="105" spans="2:8" x14ac:dyDescent="0.25">
      <c r="B105" s="49" t="s">
        <v>309</v>
      </c>
      <c r="C105" s="53">
        <v>1.2</v>
      </c>
      <c r="D105" s="53">
        <f t="shared" si="15"/>
        <v>0.87959999999999994</v>
      </c>
      <c r="E105" s="53">
        <f t="shared" si="16"/>
        <v>0.65760000000000007</v>
      </c>
      <c r="F105" s="53">
        <f t="shared" si="17"/>
        <v>0.44639999999999996</v>
      </c>
      <c r="G105" s="53">
        <f t="shared" si="18"/>
        <v>0.30959999999999999</v>
      </c>
      <c r="H105" s="54">
        <f t="shared" si="19"/>
        <v>0.2268</v>
      </c>
    </row>
    <row r="106" spans="2:8" x14ac:dyDescent="0.25">
      <c r="B106" s="49" t="s">
        <v>310</v>
      </c>
      <c r="C106" s="53">
        <v>4.5</v>
      </c>
      <c r="D106" s="53">
        <f t="shared" si="15"/>
        <v>3.2984999999999998</v>
      </c>
      <c r="E106" s="53">
        <f t="shared" si="16"/>
        <v>2.4660000000000002</v>
      </c>
      <c r="F106" s="53">
        <f t="shared" si="17"/>
        <v>1.6739999999999999</v>
      </c>
      <c r="G106" s="53">
        <f t="shared" si="18"/>
        <v>1.161</v>
      </c>
      <c r="H106" s="54">
        <f t="shared" si="19"/>
        <v>0.85050000000000003</v>
      </c>
    </row>
    <row r="107" spans="2:8" x14ac:dyDescent="0.25">
      <c r="B107" s="49" t="s">
        <v>311</v>
      </c>
      <c r="C107" s="53">
        <v>21</v>
      </c>
      <c r="D107" s="53">
        <f t="shared" si="15"/>
        <v>15.392999999999999</v>
      </c>
      <c r="E107" s="53">
        <f t="shared" si="16"/>
        <v>11.508000000000001</v>
      </c>
      <c r="F107" s="53">
        <f t="shared" si="17"/>
        <v>7.8120000000000003</v>
      </c>
      <c r="G107" s="53">
        <f t="shared" si="18"/>
        <v>5.4180000000000001</v>
      </c>
      <c r="H107" s="54">
        <f t="shared" si="19"/>
        <v>3.9689999999999999</v>
      </c>
    </row>
    <row r="108" spans="2:8" ht="15.75" thickBot="1" x14ac:dyDescent="0.3">
      <c r="B108" s="50" t="s">
        <v>312</v>
      </c>
      <c r="C108" s="55">
        <v>42</v>
      </c>
      <c r="D108" s="55">
        <f t="shared" si="15"/>
        <v>30.785999999999998</v>
      </c>
      <c r="E108" s="55">
        <f t="shared" si="16"/>
        <v>23.016000000000002</v>
      </c>
      <c r="F108" s="55">
        <f t="shared" si="17"/>
        <v>15.624000000000001</v>
      </c>
      <c r="G108" s="55">
        <f t="shared" si="18"/>
        <v>10.836</v>
      </c>
      <c r="H108" s="56">
        <f t="shared" si="19"/>
        <v>7.9379999999999997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B34439DA2D9643B77EEF90079834E4" ma:contentTypeVersion="7" ma:contentTypeDescription="Create a new document." ma:contentTypeScope="" ma:versionID="a33512b358997d001251ea04a7ddcc49">
  <xsd:schema xmlns:xsd="http://www.w3.org/2001/XMLSchema" xmlns:xs="http://www.w3.org/2001/XMLSchema" xmlns:p="http://schemas.microsoft.com/office/2006/metadata/properties" xmlns:ns2="d1291c43-6d43-4702-b8aa-95a819e21c69" xmlns:ns3="b137bba2-f9b4-4bd9-9dbf-cec82d1947e1" targetNamespace="http://schemas.microsoft.com/office/2006/metadata/properties" ma:root="true" ma:fieldsID="885d912f910377ca642a4e5ddaeb236a" ns2:_="" ns3:_="">
    <xsd:import namespace="d1291c43-6d43-4702-b8aa-95a819e21c69"/>
    <xsd:import namespace="b137bba2-f9b4-4bd9-9dbf-cec82d1947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91c43-6d43-4702-b8aa-95a819e21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37bba2-f9b4-4bd9-9dbf-cec82d1947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59B36-DCB8-4EC9-A6BD-FE876BD86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91c43-6d43-4702-b8aa-95a819e21c69"/>
    <ds:schemaRef ds:uri="b137bba2-f9b4-4bd9-9dbf-cec82d1947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65C98-732D-4156-A111-0862696E155E}">
  <ds:schemaRefs>
    <ds:schemaRef ds:uri="http://purl.org/dc/dcmitype/"/>
    <ds:schemaRef ds:uri="d1291c43-6d43-4702-b8aa-95a819e21c69"/>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b137bba2-f9b4-4bd9-9dbf-cec82d1947e1"/>
    <ds:schemaRef ds:uri="http://purl.org/dc/terms/"/>
    <ds:schemaRef ds:uri="http://purl.org/dc/elements/1.1/"/>
  </ds:schemaRefs>
</ds:datastoreItem>
</file>

<file path=customXml/itemProps3.xml><?xml version="1.0" encoding="utf-8"?>
<ds:datastoreItem xmlns:ds="http://schemas.openxmlformats.org/officeDocument/2006/customXml" ds:itemID="{B910EFCD-42D5-47A4-BB73-2CC90D8D1E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279</vt:i4>
      </vt:variant>
    </vt:vector>
  </HeadingPairs>
  <TitlesOfParts>
    <vt:vector size="311" baseType="lpstr">
      <vt:lpstr>Instructions</vt:lpstr>
      <vt:lpstr>Risk Score Calculator</vt:lpstr>
      <vt:lpstr>Roadside Risk Checklist</vt:lpstr>
      <vt:lpstr>Print Sheet</vt:lpstr>
      <vt:lpstr>Working</vt:lpstr>
      <vt:lpstr>1.1 60 U</vt:lpstr>
      <vt:lpstr>1.2 70 U</vt:lpstr>
      <vt:lpstr>1.3 80 U</vt:lpstr>
      <vt:lpstr>1.4 90 U</vt:lpstr>
      <vt:lpstr>1.5 100 U</vt:lpstr>
      <vt:lpstr>1.6 110 U</vt:lpstr>
      <vt:lpstr>2.1 60 D</vt:lpstr>
      <vt:lpstr>2.2 70 D</vt:lpstr>
      <vt:lpstr>2.3 80 D</vt:lpstr>
      <vt:lpstr>2.4 90 D</vt:lpstr>
      <vt:lpstr>2.5 100 D</vt:lpstr>
      <vt:lpstr>2.6 110 D</vt:lpstr>
      <vt:lpstr>3.1 60 U</vt:lpstr>
      <vt:lpstr>3.2 70 U</vt:lpstr>
      <vt:lpstr>3.3 80 U</vt:lpstr>
      <vt:lpstr>3.4 90 U</vt:lpstr>
      <vt:lpstr>3.5 100 U</vt:lpstr>
      <vt:lpstr>3.6 110 U</vt:lpstr>
      <vt:lpstr>4.1 60 D</vt:lpstr>
      <vt:lpstr>4.2 70 D</vt:lpstr>
      <vt:lpstr>4.3 80 D</vt:lpstr>
      <vt:lpstr>4.4 90 D</vt:lpstr>
      <vt:lpstr>4.5 100 D</vt:lpstr>
      <vt:lpstr>4.6 110 D</vt:lpstr>
      <vt:lpstr>Exposure</vt:lpstr>
      <vt:lpstr>Likelihood</vt:lpstr>
      <vt:lpstr>Trauma Index</vt:lpstr>
      <vt:lpstr>AboveSeventyCurve</vt:lpstr>
      <vt:lpstr>'1.2 70 U'!BaseExp</vt:lpstr>
      <vt:lpstr>'1.3 80 U'!BaseExp</vt:lpstr>
      <vt:lpstr>'1.4 90 U'!BaseExp</vt:lpstr>
      <vt:lpstr>'1.5 100 U'!BaseExp</vt:lpstr>
      <vt:lpstr>'1.6 110 U'!BaseExp</vt:lpstr>
      <vt:lpstr>'2.1 60 D'!BaseExp</vt:lpstr>
      <vt:lpstr>'2.2 70 D'!BaseExp</vt:lpstr>
      <vt:lpstr>'2.3 80 D'!BaseExp</vt:lpstr>
      <vt:lpstr>'2.4 90 D'!BaseExp</vt:lpstr>
      <vt:lpstr>'2.5 100 D'!BaseExp</vt:lpstr>
      <vt:lpstr>'2.6 110 D'!BaseExp</vt:lpstr>
      <vt:lpstr>'3.1 60 U'!BaseExp</vt:lpstr>
      <vt:lpstr>'3.2 70 U'!BaseExp</vt:lpstr>
      <vt:lpstr>'3.3 80 U'!BaseExp</vt:lpstr>
      <vt:lpstr>'3.4 90 U'!BaseExp</vt:lpstr>
      <vt:lpstr>'3.5 100 U'!BaseExp</vt:lpstr>
      <vt:lpstr>'3.6 110 U'!BaseExp</vt:lpstr>
      <vt:lpstr>'4.1 60 D'!BaseExp</vt:lpstr>
      <vt:lpstr>'4.2 70 D'!BaseExp</vt:lpstr>
      <vt:lpstr>'4.3 80 D'!BaseExp</vt:lpstr>
      <vt:lpstr>'4.4 90 D'!BaseExp</vt:lpstr>
      <vt:lpstr>'4.5 100 D'!BaseExp</vt:lpstr>
      <vt:lpstr>'4.6 110 D'!BaseExp</vt:lpstr>
      <vt:lpstr>BaseExp</vt:lpstr>
      <vt:lpstr>BelowSeventyCurve</vt:lpstr>
      <vt:lpstr>'1.2 70 U'!CurveFact</vt:lpstr>
      <vt:lpstr>'1.3 80 U'!CurveFact</vt:lpstr>
      <vt:lpstr>'1.4 90 U'!CurveFact</vt:lpstr>
      <vt:lpstr>'1.5 100 U'!CurveFact</vt:lpstr>
      <vt:lpstr>'1.6 110 U'!CurveFact</vt:lpstr>
      <vt:lpstr>'2.1 60 D'!CurveFact</vt:lpstr>
      <vt:lpstr>'2.2 70 D'!CurveFact</vt:lpstr>
      <vt:lpstr>'2.3 80 D'!CurveFact</vt:lpstr>
      <vt:lpstr>'2.4 90 D'!CurveFact</vt:lpstr>
      <vt:lpstr>'2.5 100 D'!CurveFact</vt:lpstr>
      <vt:lpstr>'2.6 110 D'!CurveFact</vt:lpstr>
      <vt:lpstr>'3.1 60 U'!CurveFact</vt:lpstr>
      <vt:lpstr>'3.2 70 U'!CurveFact</vt:lpstr>
      <vt:lpstr>'3.3 80 U'!CurveFact</vt:lpstr>
      <vt:lpstr>'3.4 90 U'!CurveFact</vt:lpstr>
      <vt:lpstr>'3.5 100 U'!CurveFact</vt:lpstr>
      <vt:lpstr>'3.6 110 U'!CurveFact</vt:lpstr>
      <vt:lpstr>'4.1 60 D'!CurveFact</vt:lpstr>
      <vt:lpstr>'4.2 70 D'!CurveFact</vt:lpstr>
      <vt:lpstr>'4.3 80 D'!CurveFact</vt:lpstr>
      <vt:lpstr>'4.4 90 D'!CurveFact</vt:lpstr>
      <vt:lpstr>'4.5 100 D'!CurveFact</vt:lpstr>
      <vt:lpstr>'4.6 110 D'!CurveFact</vt:lpstr>
      <vt:lpstr>CurveFact</vt:lpstr>
      <vt:lpstr>DivExp</vt:lpstr>
      <vt:lpstr>DividedExp</vt:lpstr>
      <vt:lpstr>'2.2 70 D'!DividedLaneFact</vt:lpstr>
      <vt:lpstr>'4.1 60 D'!DividedLaneFact</vt:lpstr>
      <vt:lpstr>'4.2 70 D'!DividedLaneFact</vt:lpstr>
      <vt:lpstr>DividedLaneFact</vt:lpstr>
      <vt:lpstr>DividedLanes</vt:lpstr>
      <vt:lpstr>'1.2 70 U'!GradeFact</vt:lpstr>
      <vt:lpstr>'1.3 80 U'!GradeFact</vt:lpstr>
      <vt:lpstr>'1.4 90 U'!GradeFact</vt:lpstr>
      <vt:lpstr>'1.5 100 U'!GradeFact</vt:lpstr>
      <vt:lpstr>'1.6 110 U'!GradeFact</vt:lpstr>
      <vt:lpstr>'2.1 60 D'!GradeFact</vt:lpstr>
      <vt:lpstr>'2.2 70 D'!GradeFact</vt:lpstr>
      <vt:lpstr>'2.3 80 D'!GradeFact</vt:lpstr>
      <vt:lpstr>'2.4 90 D'!GradeFact</vt:lpstr>
      <vt:lpstr>'2.5 100 D'!GradeFact</vt:lpstr>
      <vt:lpstr>'2.6 110 D'!GradeFact</vt:lpstr>
      <vt:lpstr>'3.1 60 U'!GradeFact</vt:lpstr>
      <vt:lpstr>'3.2 70 U'!GradeFact</vt:lpstr>
      <vt:lpstr>'3.3 80 U'!GradeFact</vt:lpstr>
      <vt:lpstr>'3.4 90 U'!GradeFact</vt:lpstr>
      <vt:lpstr>'3.5 100 U'!GradeFact</vt:lpstr>
      <vt:lpstr>'3.6 110 U'!GradeFact</vt:lpstr>
      <vt:lpstr>'4.1 60 D'!GradeFact</vt:lpstr>
      <vt:lpstr>'4.2 70 D'!GradeFact</vt:lpstr>
      <vt:lpstr>'4.3 80 D'!GradeFact</vt:lpstr>
      <vt:lpstr>'4.4 90 D'!GradeFact</vt:lpstr>
      <vt:lpstr>'4.5 100 D'!GradeFact</vt:lpstr>
      <vt:lpstr>'4.6 110 D'!GradeFact</vt:lpstr>
      <vt:lpstr>GradeFact</vt:lpstr>
      <vt:lpstr>'1.2 70 U'!GradeFactor</vt:lpstr>
      <vt:lpstr>'1.3 80 U'!GradeFactor</vt:lpstr>
      <vt:lpstr>'1.4 90 U'!GradeFactor</vt:lpstr>
      <vt:lpstr>'1.5 100 U'!GradeFactor</vt:lpstr>
      <vt:lpstr>'1.6 110 U'!GradeFactor</vt:lpstr>
      <vt:lpstr>'2.1 60 D'!GradeFactor</vt:lpstr>
      <vt:lpstr>'2.2 70 D'!GradeFactor</vt:lpstr>
      <vt:lpstr>'2.3 80 D'!GradeFactor</vt:lpstr>
      <vt:lpstr>'2.4 90 D'!GradeFactor</vt:lpstr>
      <vt:lpstr>'2.5 100 D'!GradeFactor</vt:lpstr>
      <vt:lpstr>'2.6 110 D'!GradeFactor</vt:lpstr>
      <vt:lpstr>'3.1 60 U'!GradeFactor</vt:lpstr>
      <vt:lpstr>'3.2 70 U'!GradeFactor</vt:lpstr>
      <vt:lpstr>'3.3 80 U'!GradeFactor</vt:lpstr>
      <vt:lpstr>'3.4 90 U'!GradeFactor</vt:lpstr>
      <vt:lpstr>'3.5 100 U'!GradeFactor</vt:lpstr>
      <vt:lpstr>'3.6 110 U'!GradeFactor</vt:lpstr>
      <vt:lpstr>'4.1 60 D'!GradeFactor</vt:lpstr>
      <vt:lpstr>'4.2 70 D'!GradeFactor</vt:lpstr>
      <vt:lpstr>'4.3 80 D'!GradeFactor</vt:lpstr>
      <vt:lpstr>'4.4 90 D'!GradeFactor</vt:lpstr>
      <vt:lpstr>'4.5 100 D'!GradeFactor</vt:lpstr>
      <vt:lpstr>'4.6 110 D'!GradeFactor</vt:lpstr>
      <vt:lpstr>GradeFactor</vt:lpstr>
      <vt:lpstr>'1.2 70 U'!LaneFact</vt:lpstr>
      <vt:lpstr>'1.3 80 U'!LaneFact</vt:lpstr>
      <vt:lpstr>'1.4 90 U'!LaneFact</vt:lpstr>
      <vt:lpstr>'1.5 100 U'!LaneFact</vt:lpstr>
      <vt:lpstr>'1.6 110 U'!LaneFact</vt:lpstr>
      <vt:lpstr>'2.1 60 D'!LaneFact</vt:lpstr>
      <vt:lpstr>'2.2 70 D'!LaneFact</vt:lpstr>
      <vt:lpstr>'2.3 80 D'!LaneFact</vt:lpstr>
      <vt:lpstr>'2.4 90 D'!LaneFact</vt:lpstr>
      <vt:lpstr>'2.5 100 D'!LaneFact</vt:lpstr>
      <vt:lpstr>'2.6 110 D'!LaneFact</vt:lpstr>
      <vt:lpstr>'3.1 60 U'!LaneFact</vt:lpstr>
      <vt:lpstr>'3.2 70 U'!LaneFact</vt:lpstr>
      <vt:lpstr>'3.3 80 U'!LaneFact</vt:lpstr>
      <vt:lpstr>'3.4 90 U'!LaneFact</vt:lpstr>
      <vt:lpstr>'3.5 100 U'!LaneFact</vt:lpstr>
      <vt:lpstr>'3.6 110 U'!LaneFact</vt:lpstr>
      <vt:lpstr>'4.1 60 D'!LaneFact</vt:lpstr>
      <vt:lpstr>'4.2 70 D'!LaneFact</vt:lpstr>
      <vt:lpstr>'4.3 80 D'!LaneFact</vt:lpstr>
      <vt:lpstr>'4.4 90 D'!LaneFact</vt:lpstr>
      <vt:lpstr>'4.5 100 D'!LaneFact</vt:lpstr>
      <vt:lpstr>'4.6 110 D'!LaneFact</vt:lpstr>
      <vt:lpstr>LaneFact</vt:lpstr>
      <vt:lpstr>'1.2 70 U'!lanefactUsixty</vt:lpstr>
      <vt:lpstr>'1.3 80 U'!lanefactUsixty</vt:lpstr>
      <vt:lpstr>'1.4 90 U'!lanefactUsixty</vt:lpstr>
      <vt:lpstr>'1.5 100 U'!lanefactUsixty</vt:lpstr>
      <vt:lpstr>'1.6 110 U'!lanefactUsixty</vt:lpstr>
      <vt:lpstr>'2.1 60 D'!lanefactUsixty</vt:lpstr>
      <vt:lpstr>'2.2 70 D'!lanefactUsixty</vt:lpstr>
      <vt:lpstr>'2.3 80 D'!lanefactUsixty</vt:lpstr>
      <vt:lpstr>'2.4 90 D'!lanefactUsixty</vt:lpstr>
      <vt:lpstr>'2.5 100 D'!lanefactUsixty</vt:lpstr>
      <vt:lpstr>'2.6 110 D'!lanefactUsixty</vt:lpstr>
      <vt:lpstr>'3.1 60 U'!lanefactUsixty</vt:lpstr>
      <vt:lpstr>'3.2 70 U'!lanefactUsixty</vt:lpstr>
      <vt:lpstr>'3.3 80 U'!lanefactUsixty</vt:lpstr>
      <vt:lpstr>'3.4 90 U'!lanefactUsixty</vt:lpstr>
      <vt:lpstr>'3.5 100 U'!lanefactUsixty</vt:lpstr>
      <vt:lpstr>'3.6 110 U'!lanefactUsixty</vt:lpstr>
      <vt:lpstr>'4.1 60 D'!lanefactUsixty</vt:lpstr>
      <vt:lpstr>'4.2 70 D'!lanefactUsixty</vt:lpstr>
      <vt:lpstr>'4.3 80 D'!lanefactUsixty</vt:lpstr>
      <vt:lpstr>'4.4 90 D'!lanefactUsixty</vt:lpstr>
      <vt:lpstr>'4.5 100 D'!lanefactUsixty</vt:lpstr>
      <vt:lpstr>'4.6 110 D'!lanefactUsixty</vt:lpstr>
      <vt:lpstr>lanefactUsixty</vt:lpstr>
      <vt:lpstr>'1.2 70 U'!LaneWidth</vt:lpstr>
      <vt:lpstr>'1.3 80 U'!LaneWidth</vt:lpstr>
      <vt:lpstr>'1.4 90 U'!LaneWidth</vt:lpstr>
      <vt:lpstr>'1.5 100 U'!LaneWidth</vt:lpstr>
      <vt:lpstr>'1.6 110 U'!LaneWidth</vt:lpstr>
      <vt:lpstr>'2.1 60 D'!LaneWidth</vt:lpstr>
      <vt:lpstr>'2.2 70 D'!LaneWidth</vt:lpstr>
      <vt:lpstr>'2.3 80 D'!LaneWidth</vt:lpstr>
      <vt:lpstr>'2.4 90 D'!LaneWidth</vt:lpstr>
      <vt:lpstr>'2.5 100 D'!LaneWidth</vt:lpstr>
      <vt:lpstr>'2.6 110 D'!LaneWidth</vt:lpstr>
      <vt:lpstr>'3.1 60 U'!LaneWidth</vt:lpstr>
      <vt:lpstr>'3.2 70 U'!LaneWidth</vt:lpstr>
      <vt:lpstr>'3.3 80 U'!LaneWidth</vt:lpstr>
      <vt:lpstr>'3.4 90 U'!LaneWidth</vt:lpstr>
      <vt:lpstr>'3.5 100 U'!LaneWidth</vt:lpstr>
      <vt:lpstr>'3.6 110 U'!LaneWidth</vt:lpstr>
      <vt:lpstr>'4.1 60 D'!LaneWidth</vt:lpstr>
      <vt:lpstr>'4.2 70 D'!LaneWidth</vt:lpstr>
      <vt:lpstr>'4.3 80 D'!LaneWidth</vt:lpstr>
      <vt:lpstr>'4.4 90 D'!LaneWidth</vt:lpstr>
      <vt:lpstr>'4.5 100 D'!LaneWidth</vt:lpstr>
      <vt:lpstr>'4.6 110 D'!LaneWidth</vt:lpstr>
      <vt:lpstr>LaneWidth</vt:lpstr>
      <vt:lpstr>'1.2 70 U'!likelihoodcurve</vt:lpstr>
      <vt:lpstr>'1.3 80 U'!likelihoodcurve</vt:lpstr>
      <vt:lpstr>'1.4 90 U'!likelihoodcurve</vt:lpstr>
      <vt:lpstr>'1.5 100 U'!likelihoodcurve</vt:lpstr>
      <vt:lpstr>'1.6 110 U'!likelihoodcurve</vt:lpstr>
      <vt:lpstr>'2.1 60 D'!likelihoodcurve</vt:lpstr>
      <vt:lpstr>'2.2 70 D'!likelihoodcurve</vt:lpstr>
      <vt:lpstr>'2.3 80 D'!likelihoodcurve</vt:lpstr>
      <vt:lpstr>'2.4 90 D'!likelihoodcurve</vt:lpstr>
      <vt:lpstr>'2.5 100 D'!likelihoodcurve</vt:lpstr>
      <vt:lpstr>'2.6 110 D'!likelihoodcurve</vt:lpstr>
      <vt:lpstr>'3.1 60 U'!likelihoodcurve</vt:lpstr>
      <vt:lpstr>'3.2 70 U'!likelihoodcurve</vt:lpstr>
      <vt:lpstr>'3.3 80 U'!likelihoodcurve</vt:lpstr>
      <vt:lpstr>'3.4 90 U'!likelihoodcurve</vt:lpstr>
      <vt:lpstr>'3.5 100 U'!likelihoodcurve</vt:lpstr>
      <vt:lpstr>'3.6 110 U'!likelihoodcurve</vt:lpstr>
      <vt:lpstr>'4.1 60 D'!likelihoodcurve</vt:lpstr>
      <vt:lpstr>'4.2 70 D'!likelihoodcurve</vt:lpstr>
      <vt:lpstr>'4.3 80 D'!likelihoodcurve</vt:lpstr>
      <vt:lpstr>'4.4 90 D'!likelihoodcurve</vt:lpstr>
      <vt:lpstr>'4.5 100 D'!likelihoodcurve</vt:lpstr>
      <vt:lpstr>'4.6 110 D'!likelihoodcurve</vt:lpstr>
      <vt:lpstr>likelihoodcurve</vt:lpstr>
      <vt:lpstr>'Print Sheet'!Print_Area</vt:lpstr>
      <vt:lpstr>'Roadside Risk Checklist'!Print_Area</vt:lpstr>
      <vt:lpstr>RiskScoresSum</vt:lpstr>
      <vt:lpstr>'1.2 70 U'!TerrainFact</vt:lpstr>
      <vt:lpstr>'1.3 80 U'!TerrainFact</vt:lpstr>
      <vt:lpstr>'1.4 90 U'!TerrainFact</vt:lpstr>
      <vt:lpstr>'1.5 100 U'!TerrainFact</vt:lpstr>
      <vt:lpstr>'1.6 110 U'!TerrainFact</vt:lpstr>
      <vt:lpstr>'2.1 60 D'!TerrainFact</vt:lpstr>
      <vt:lpstr>'2.2 70 D'!TerrainFact</vt:lpstr>
      <vt:lpstr>'2.3 80 D'!TerrainFact</vt:lpstr>
      <vt:lpstr>'2.4 90 D'!TerrainFact</vt:lpstr>
      <vt:lpstr>'2.5 100 D'!TerrainFact</vt:lpstr>
      <vt:lpstr>'2.6 110 D'!TerrainFact</vt:lpstr>
      <vt:lpstr>'3.1 60 U'!TerrainFact</vt:lpstr>
      <vt:lpstr>'3.2 70 U'!TerrainFact</vt:lpstr>
      <vt:lpstr>'3.3 80 U'!TerrainFact</vt:lpstr>
      <vt:lpstr>'3.4 90 U'!TerrainFact</vt:lpstr>
      <vt:lpstr>'3.5 100 U'!TerrainFact</vt:lpstr>
      <vt:lpstr>'3.6 110 U'!TerrainFact</vt:lpstr>
      <vt:lpstr>'4.1 60 D'!TerrainFact</vt:lpstr>
      <vt:lpstr>'4.2 70 D'!TerrainFact</vt:lpstr>
      <vt:lpstr>'4.3 80 D'!TerrainFact</vt:lpstr>
      <vt:lpstr>'4.4 90 D'!TerrainFact</vt:lpstr>
      <vt:lpstr>'4.5 100 D'!TerrainFact</vt:lpstr>
      <vt:lpstr>'4.6 110 D'!TerrainFact</vt:lpstr>
      <vt:lpstr>TerrainFact</vt:lpstr>
      <vt:lpstr>'1.2 70 U'!terrainfactUsixty</vt:lpstr>
      <vt:lpstr>'1.3 80 U'!terrainfactUsixty</vt:lpstr>
      <vt:lpstr>'1.4 90 U'!terrainfactUsixty</vt:lpstr>
      <vt:lpstr>'1.5 100 U'!terrainfactUsixty</vt:lpstr>
      <vt:lpstr>'1.6 110 U'!terrainfactUsixty</vt:lpstr>
      <vt:lpstr>'2.1 60 D'!terrainfactUsixty</vt:lpstr>
      <vt:lpstr>'2.2 70 D'!terrainfactUsixty</vt:lpstr>
      <vt:lpstr>'2.3 80 D'!terrainfactUsixty</vt:lpstr>
      <vt:lpstr>'2.4 90 D'!terrainfactUsixty</vt:lpstr>
      <vt:lpstr>'2.5 100 D'!terrainfactUsixty</vt:lpstr>
      <vt:lpstr>'2.6 110 D'!terrainfactUsixty</vt:lpstr>
      <vt:lpstr>'3.1 60 U'!terrainfactUsixty</vt:lpstr>
      <vt:lpstr>'3.2 70 U'!terrainfactUsixty</vt:lpstr>
      <vt:lpstr>'3.3 80 U'!terrainfactUsixty</vt:lpstr>
      <vt:lpstr>'3.4 90 U'!terrainfactUsixty</vt:lpstr>
      <vt:lpstr>'3.5 100 U'!terrainfactUsixty</vt:lpstr>
      <vt:lpstr>'3.6 110 U'!terrainfactUsixty</vt:lpstr>
      <vt:lpstr>'4.1 60 D'!terrainfactUsixty</vt:lpstr>
      <vt:lpstr>'4.2 70 D'!terrainfactUsixty</vt:lpstr>
      <vt:lpstr>'4.3 80 D'!terrainfactUsixty</vt:lpstr>
      <vt:lpstr>'4.4 90 D'!terrainfactUsixty</vt:lpstr>
      <vt:lpstr>'4.5 100 D'!terrainfactUsixty</vt:lpstr>
      <vt:lpstr>'4.6 110 D'!terrainfactUsixty</vt:lpstr>
      <vt:lpstr>terrainfactUsixty</vt:lpstr>
      <vt:lpstr>'1.2 70 U'!TraumaHazard</vt:lpstr>
      <vt:lpstr>'1.3 80 U'!TraumaHazard</vt:lpstr>
      <vt:lpstr>'1.4 90 U'!TraumaHazard</vt:lpstr>
      <vt:lpstr>'1.5 100 U'!TraumaHazard</vt:lpstr>
      <vt:lpstr>'1.6 110 U'!TraumaHazard</vt:lpstr>
      <vt:lpstr>'2.1 60 D'!TraumaHazard</vt:lpstr>
      <vt:lpstr>'2.2 70 D'!TraumaHazard</vt:lpstr>
      <vt:lpstr>'2.3 80 D'!TraumaHazard</vt:lpstr>
      <vt:lpstr>'2.4 90 D'!TraumaHazard</vt:lpstr>
      <vt:lpstr>'2.5 100 D'!TraumaHazard</vt:lpstr>
      <vt:lpstr>'2.6 110 D'!TraumaHazard</vt:lpstr>
      <vt:lpstr>'3.1 60 U'!TraumaHazard</vt:lpstr>
      <vt:lpstr>'3.2 70 U'!TraumaHazard</vt:lpstr>
      <vt:lpstr>'3.3 80 U'!TraumaHazard</vt:lpstr>
      <vt:lpstr>'3.4 90 U'!TraumaHazard</vt:lpstr>
      <vt:lpstr>'3.5 100 U'!TraumaHazard</vt:lpstr>
      <vt:lpstr>'3.6 110 U'!TraumaHazard</vt:lpstr>
      <vt:lpstr>'4.1 60 D'!TraumaHazard</vt:lpstr>
      <vt:lpstr>'4.2 70 D'!TraumaHazard</vt:lpstr>
      <vt:lpstr>'4.3 80 D'!TraumaHazard</vt:lpstr>
      <vt:lpstr>'4.4 90 D'!TraumaHazard</vt:lpstr>
      <vt:lpstr>'4.5 100 D'!TraumaHazard</vt:lpstr>
      <vt:lpstr>'4.6 110 D'!TraumaHazard</vt:lpstr>
      <vt:lpstr>TraumaHazard</vt:lpstr>
      <vt:lpstr>UndividedExp</vt:lpstr>
      <vt:lpstr>UndividedLanes</vt:lpstr>
      <vt:lpstr>UnExp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Rosser</dc:creator>
  <cp:lastModifiedBy>Paul Wellington</cp:lastModifiedBy>
  <cp:lastPrinted>2022-06-27T23:54:22Z</cp:lastPrinted>
  <dcterms:created xsi:type="dcterms:W3CDTF">2022-05-30T04:45:11Z</dcterms:created>
  <dcterms:modified xsi:type="dcterms:W3CDTF">2023-03-01T21:30:03Z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0x010100D9B34439DA2D9643B77EEF90079834E4</vt:lpwstr>
  </property>
</Properties>
</file>