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tmp" ContentType="image/p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66925"/>
  <mc:AlternateContent xmlns:mc="http://schemas.openxmlformats.org/markup-compatibility/2006">
    <mc:Choice Requires="x15">
      <x15ac:absPath xmlns:x15ac="http://schemas.microsoft.com/office/spreadsheetml/2010/11/ac" url="https://vicroads.sharepoint.com/sites/RoadStandardsandSpecificationSubcommittee/Shared Documents/General/2. RSSS Standards Change Folders/4. SDR - AWAITING AUTHORISATION/RTE022 - 23-064-DTP-RaTE - Length of need calculator (AGRD PART6 - Appendix G)/"/>
    </mc:Choice>
  </mc:AlternateContent>
  <xr:revisionPtr revIDLastSave="2" documentId="8_{ECF034BB-55BC-4E56-BBFC-9BACDDEE7BBD}" xr6:coauthVersionLast="47" xr6:coauthVersionMax="47" xr10:uidLastSave="{C39DDEFD-59D7-4A91-A3B1-0930A2CDD638}"/>
  <workbookProtection workbookAlgorithmName="SHA-512" workbookHashValue="afr40fGc7o7ORO2jGC4QuoZFMuZ4Ia87TAJfPB+oSdpb+FX6tgb7ZxVq91o30bIdhVOAkk4PxK9jNGX8l5VK3Q==" workbookSaltValue="+GISQnxYISammOVDsvEj4w==" workbookSpinCount="100000" lockStructure="1"/>
  <bookViews>
    <workbookView xWindow="28680" yWindow="-120" windowWidth="29040" windowHeight="15840" firstSheet="1" activeTab="1" xr2:uid="{FB0278BC-7B65-4636-9E65-D4FE15E60ED4}"/>
  </bookViews>
  <sheets>
    <sheet name="Instructions" sheetId="16" r:id="rId1"/>
    <sheet name="Length of Need Calculator" sheetId="15" r:id="rId2"/>
    <sheet name="LoN Schedule" sheetId="23" r:id="rId3"/>
    <sheet name="Pull-down Inputs" sheetId="17" state="hidden" r:id="rId4"/>
    <sheet name="Lr for AADT" sheetId="3" state="hidden" r:id="rId5"/>
  </sheets>
  <definedNames>
    <definedName name="_xlnm._FilterDatabase" localSheetId="1" hidden="1">'Length of Need Calculator'!$C$9:$E$16</definedName>
    <definedName name="_xlnm.Print_Area" localSheetId="1">'Length of Need Calculator'!$A$1:$E$26</definedName>
    <definedName name="_xlnm.Print_Area" localSheetId="2">'LoN Schedule'!$A$1:$Y$23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5" i="23" l="1"/>
  <c r="Q5" i="23" s="1" a="1"/>
  <c r="Q5" i="23" s="1"/>
  <c r="R5" i="23" a="1"/>
  <c r="R5" i="23" s="1"/>
  <c r="T5" i="23" a="1"/>
  <c r="T5" i="23"/>
  <c r="Y5" i="23" s="1"/>
  <c r="U5" i="23"/>
  <c r="V5" i="23" a="1"/>
  <c r="V5" i="23" s="1"/>
  <c r="W5" i="23" a="1"/>
  <c r="W5" i="23" s="1"/>
  <c r="X5" i="23"/>
  <c r="P6" i="23"/>
  <c r="Q6" i="23" s="1" a="1"/>
  <c r="Q6" i="23" s="1"/>
  <c r="S6" i="23" a="1"/>
  <c r="S6" i="23" s="1"/>
  <c r="U6" i="23"/>
  <c r="V6" i="23" a="1"/>
  <c r="V6" i="23"/>
  <c r="W6" i="23" a="1"/>
  <c r="W6" i="23" s="1"/>
  <c r="X6" i="23"/>
  <c r="P7" i="23"/>
  <c r="S7" i="23" s="1" a="1"/>
  <c r="S7" i="23" s="1"/>
  <c r="U7" i="23"/>
  <c r="V7" i="23" a="1"/>
  <c r="V7" i="23"/>
  <c r="X7" i="23"/>
  <c r="P8" i="23"/>
  <c r="W8" i="23" s="1" a="1"/>
  <c r="W8" i="23" s="1"/>
  <c r="R8" i="23" a="1"/>
  <c r="R8" i="23"/>
  <c r="T8" i="23" a="1"/>
  <c r="T8" i="23"/>
  <c r="U8" i="23"/>
  <c r="V8" i="23" a="1"/>
  <c r="V8" i="23" s="1"/>
  <c r="X8" i="23"/>
  <c r="P9" i="23"/>
  <c r="Q9" i="23" s="1" a="1"/>
  <c r="Q9" i="23" s="1"/>
  <c r="S9" i="23" a="1"/>
  <c r="S9" i="23" s="1"/>
  <c r="U9" i="23"/>
  <c r="V9" i="23" a="1"/>
  <c r="V9" i="23"/>
  <c r="W9" i="23" a="1"/>
  <c r="W9" i="23" s="1"/>
  <c r="X9" i="23"/>
  <c r="P10" i="23"/>
  <c r="S10" i="23" s="1" a="1"/>
  <c r="S10" i="23" s="1"/>
  <c r="Q10" i="23" a="1"/>
  <c r="Q10" i="23" s="1"/>
  <c r="U10" i="23"/>
  <c r="V10" i="23" a="1"/>
  <c r="V10" i="23"/>
  <c r="W10" i="23" a="1"/>
  <c r="W10" i="23"/>
  <c r="X10" i="23"/>
  <c r="P11" i="23"/>
  <c r="Q11" i="23" s="1" a="1"/>
  <c r="Q11" i="23" s="1"/>
  <c r="R11" i="23" a="1"/>
  <c r="R11" i="23" s="1"/>
  <c r="T11" i="23" a="1"/>
  <c r="T11" i="23"/>
  <c r="U11" i="23"/>
  <c r="V11" i="23" a="1"/>
  <c r="V11" i="23" s="1"/>
  <c r="X11" i="23"/>
  <c r="P12" i="23"/>
  <c r="Q12" i="23" s="1" a="1"/>
  <c r="Q12" i="23" s="1"/>
  <c r="S12" i="23" a="1"/>
  <c r="S12" i="23" s="1"/>
  <c r="U12" i="23"/>
  <c r="V12" i="23" a="1"/>
  <c r="V12" i="23"/>
  <c r="W12" i="23" a="1"/>
  <c r="W12" i="23" s="1"/>
  <c r="X12" i="23"/>
  <c r="P13" i="23"/>
  <c r="S13" i="23" s="1" a="1"/>
  <c r="S13" i="23" s="1"/>
  <c r="U13" i="23"/>
  <c r="V13" i="23" a="1"/>
  <c r="V13" i="23" s="1"/>
  <c r="X13" i="23"/>
  <c r="P14" i="23"/>
  <c r="W14" i="23" s="1" a="1"/>
  <c r="W14" i="23" s="1"/>
  <c r="R14" i="23" a="1"/>
  <c r="R14" i="23" s="1"/>
  <c r="T14" i="23" a="1"/>
  <c r="T14" i="23"/>
  <c r="U14" i="23"/>
  <c r="V14" i="23" a="1"/>
  <c r="V14" i="23" s="1"/>
  <c r="X14" i="23"/>
  <c r="P15" i="23"/>
  <c r="W15" i="23" s="1" a="1"/>
  <c r="W15" i="23" s="1"/>
  <c r="S15" i="23" a="1"/>
  <c r="S15" i="23" s="1"/>
  <c r="U15" i="23"/>
  <c r="V15" i="23" a="1"/>
  <c r="V15" i="23"/>
  <c r="X15" i="23"/>
  <c r="P16" i="23"/>
  <c r="T16" i="23" s="1" a="1"/>
  <c r="T16" i="23" s="1"/>
  <c r="Q16" i="23" a="1"/>
  <c r="Q16" i="23" s="1"/>
  <c r="U16" i="23"/>
  <c r="V16" i="23" a="1"/>
  <c r="V16" i="23"/>
  <c r="X16" i="23"/>
  <c r="P17" i="23"/>
  <c r="Q17" i="23" s="1" a="1"/>
  <c r="Q17" i="23" s="1"/>
  <c r="R17" i="23" a="1"/>
  <c r="R17" i="23" s="1"/>
  <c r="T17" i="23" a="1"/>
  <c r="T17" i="23"/>
  <c r="U17" i="23"/>
  <c r="V17" i="23" a="1"/>
  <c r="V17" i="23" s="1"/>
  <c r="W17" i="23" a="1"/>
  <c r="W17" i="23" s="1"/>
  <c r="X17" i="23"/>
  <c r="P18" i="23"/>
  <c r="Q18" i="23" s="1" a="1"/>
  <c r="Q18" i="23" s="1"/>
  <c r="S18" i="23" a="1"/>
  <c r="S18" i="23" s="1"/>
  <c r="U18" i="23"/>
  <c r="V18" i="23" a="1"/>
  <c r="V18" i="23"/>
  <c r="X18" i="23"/>
  <c r="P19" i="23"/>
  <c r="T19" i="23" s="1" a="1"/>
  <c r="T19" i="23" s="1"/>
  <c r="Q19" i="23" a="1"/>
  <c r="Q19" i="23" s="1"/>
  <c r="U19" i="23"/>
  <c r="V19" i="23" a="1"/>
  <c r="V19" i="23"/>
  <c r="X19" i="23"/>
  <c r="P20" i="23"/>
  <c r="Q20" i="23" s="1" a="1"/>
  <c r="Q20" i="23" s="1"/>
  <c r="R20" i="23" a="1"/>
  <c r="R20" i="23"/>
  <c r="T20" i="23" a="1"/>
  <c r="T20" i="23"/>
  <c r="U20" i="23"/>
  <c r="V20" i="23" a="1"/>
  <c r="V20" i="23" s="1"/>
  <c r="W20" i="23" a="1"/>
  <c r="W20" i="23" s="1"/>
  <c r="X20" i="23"/>
  <c r="P21" i="23"/>
  <c r="S21" i="23" a="1"/>
  <c r="S21" i="23" s="1"/>
  <c r="U21" i="23"/>
  <c r="V21" i="23" a="1"/>
  <c r="V21" i="23"/>
  <c r="X21" i="23"/>
  <c r="P22" i="23"/>
  <c r="S22" i="23" s="1" a="1"/>
  <c r="S22" i="23" s="1"/>
  <c r="Q22" i="23" a="1"/>
  <c r="Q22" i="23" s="1"/>
  <c r="U22" i="23"/>
  <c r="V22" i="23" a="1"/>
  <c r="V22" i="23"/>
  <c r="X22" i="23"/>
  <c r="P23" i="23"/>
  <c r="Q23" i="23" s="1" a="1"/>
  <c r="Q23" i="23" s="1"/>
  <c r="R23" i="23" a="1"/>
  <c r="R23" i="23"/>
  <c r="T23" i="23" a="1"/>
  <c r="T23" i="23"/>
  <c r="U23" i="23"/>
  <c r="V23" i="23" a="1"/>
  <c r="V23" i="23" s="1"/>
  <c r="W23" i="23" a="1"/>
  <c r="W23" i="23" s="1"/>
  <c r="X23" i="23"/>
  <c r="A1" i="15"/>
  <c r="A1" i="23"/>
  <c r="V4" i="23" a="1"/>
  <c r="V4" i="23" s="1"/>
  <c r="X4" i="23"/>
  <c r="U4" i="23"/>
  <c r="P4" i="23"/>
  <c r="Q4" i="23" s="1" a="1"/>
  <c r="Q4" i="23" s="1"/>
  <c r="A26" i="15" l="1"/>
  <c r="D26" i="15"/>
  <c r="Q13" i="23" a="1"/>
  <c r="Q13" i="23" s="1"/>
  <c r="Y20" i="23"/>
  <c r="Y11" i="23"/>
  <c r="Y21" i="23"/>
  <c r="Y23" i="23"/>
  <c r="Y17" i="23"/>
  <c r="Y8" i="23"/>
  <c r="Y14" i="23"/>
  <c r="W21" i="23" a="1"/>
  <c r="W21" i="23" s="1"/>
  <c r="W18" i="23" a="1"/>
  <c r="W18" i="23" s="1"/>
  <c r="W11" i="23" a="1"/>
  <c r="W11" i="23" s="1"/>
  <c r="R22" i="23" a="1"/>
  <c r="R22" i="23" s="1"/>
  <c r="T21" i="23" a="1"/>
  <c r="T21" i="23" s="1"/>
  <c r="R19" i="23" a="1"/>
  <c r="R19" i="23" s="1"/>
  <c r="T18" i="23" a="1"/>
  <c r="T18" i="23" s="1"/>
  <c r="Y18" i="23" s="1"/>
  <c r="R16" i="23" a="1"/>
  <c r="R16" i="23" s="1"/>
  <c r="T15" i="23" a="1"/>
  <c r="T15" i="23" s="1"/>
  <c r="R13" i="23" a="1"/>
  <c r="R13" i="23" s="1"/>
  <c r="T12" i="23" a="1"/>
  <c r="T12" i="23" s="1"/>
  <c r="Y10" i="23"/>
  <c r="R10" i="23" a="1"/>
  <c r="R10" i="23" s="1"/>
  <c r="T9" i="23" a="1"/>
  <c r="T9" i="23" s="1"/>
  <c r="Y9" i="23" s="1"/>
  <c r="Y7" i="23"/>
  <c r="R7" i="23" a="1"/>
  <c r="R7" i="23" s="1"/>
  <c r="T6" i="23" a="1"/>
  <c r="T6" i="23" s="1"/>
  <c r="Y6" i="23" s="1"/>
  <c r="R18" i="23" a="1"/>
  <c r="R18" i="23" s="1"/>
  <c r="R15" i="23" a="1"/>
  <c r="R15" i="23" s="1"/>
  <c r="R9" i="23" a="1"/>
  <c r="R9" i="23" s="1"/>
  <c r="W22" i="23" a="1"/>
  <c r="W22" i="23" s="1"/>
  <c r="W16" i="23" a="1"/>
  <c r="W16" i="23" s="1"/>
  <c r="Y16" i="23" s="1"/>
  <c r="W13" i="23" a="1"/>
  <c r="W13" i="23" s="1"/>
  <c r="R21" i="23" a="1"/>
  <c r="R21" i="23" s="1"/>
  <c r="Y15" i="23"/>
  <c r="Y12" i="23"/>
  <c r="R12" i="23" a="1"/>
  <c r="R12" i="23" s="1"/>
  <c r="R6" i="23" a="1"/>
  <c r="R6" i="23" s="1"/>
  <c r="S23" i="23" a="1"/>
  <c r="S23" i="23" s="1"/>
  <c r="Q21" i="23" a="1"/>
  <c r="Q21" i="23" s="1"/>
  <c r="S20" i="23" a="1"/>
  <c r="S20" i="23" s="1"/>
  <c r="S17" i="23" a="1"/>
  <c r="S17" i="23" s="1"/>
  <c r="Q15" i="23" a="1"/>
  <c r="Q15" i="23" s="1"/>
  <c r="S14" i="23" a="1"/>
  <c r="S14" i="23" s="1"/>
  <c r="S11" i="23" a="1"/>
  <c r="S11" i="23" s="1"/>
  <c r="S8" i="23" a="1"/>
  <c r="S8" i="23" s="1"/>
  <c r="S5" i="23" a="1"/>
  <c r="S5" i="23" s="1"/>
  <c r="W19" i="23" a="1"/>
  <c r="W19" i="23" s="1"/>
  <c r="Y19" i="23" s="1"/>
  <c r="T10" i="23" a="1"/>
  <c r="T10" i="23" s="1"/>
  <c r="T7" i="23" a="1"/>
  <c r="T7" i="23" s="1"/>
  <c r="Q7" i="23" a="1"/>
  <c r="Q7" i="23" s="1"/>
  <c r="T22" i="23" a="1"/>
  <c r="T22" i="23" s="1"/>
  <c r="Y22" i="23" s="1"/>
  <c r="T13" i="23" a="1"/>
  <c r="T13" i="23" s="1"/>
  <c r="W7" i="23" a="1"/>
  <c r="W7" i="23" s="1"/>
  <c r="S19" i="23" a="1"/>
  <c r="S19" i="23" s="1"/>
  <c r="S16" i="23" a="1"/>
  <c r="S16" i="23" s="1"/>
  <c r="Q14" i="23" a="1"/>
  <c r="Q14" i="23" s="1"/>
  <c r="Q8" i="23" a="1"/>
  <c r="Q8" i="23" s="1"/>
  <c r="R4" i="23" a="1"/>
  <c r="R4" i="23" s="1"/>
  <c r="T4" i="23" a="1"/>
  <c r="T4" i="23" s="1"/>
  <c r="W4" i="23" a="1"/>
  <c r="W4" i="23" s="1"/>
  <c r="S4" i="23" a="1"/>
  <c r="S4" i="23" s="1"/>
  <c r="G16" i="15"/>
  <c r="G7" i="15"/>
  <c r="E22" i="15"/>
  <c r="E23" i="15"/>
  <c r="A11" i="3"/>
  <c r="E18" i="15" s="1"/>
  <c r="E19" i="15" s="1"/>
  <c r="Y13" i="23" l="1"/>
  <c r="Y4" i="23"/>
  <c r="E24" i="15"/>
  <c r="E21" i="15"/>
  <c r="E26" i="15"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<sst xmlns="http://schemas.openxmlformats.org/spreadsheetml/2006/main" count="191" uniqueCount="148">
  <si>
    <t>Appendix VG AGRD Part 6 Length of Need Calculator (v1.0) Septermber 2023</t>
  </si>
  <si>
    <t>Instructions:</t>
  </si>
  <si>
    <t xml:space="preserve">1. Complete the project description below </t>
  </si>
  <si>
    <t>Project Name:</t>
  </si>
  <si>
    <t>Barrier Identity:</t>
  </si>
  <si>
    <t>The "Barrier Identity" is used as a unique name for use in the "Length of Need Calculator".</t>
  </si>
  <si>
    <t>This information will be included in the Total Length of Need row output.</t>
  </si>
  <si>
    <t>2a. Complete the information in the "Length of Need Calculator" to determine the length of need for the proposed barrier</t>
  </si>
  <si>
    <t>Complete the "Length of Need Calculator" questions highlighted in LIGHT BLUE only.</t>
  </si>
  <si>
    <t>The "Length of Need Calculator" is a simplified questionnaire based on the required inputs to formulas provided in Austroads Guide to Road Design Part 6 Section 6.9.</t>
  </si>
  <si>
    <t>It automatically calculates the Length of Need by looking up tables and equations based on the inputs. These tables and equations are based on the tables, equations, graphs and figures in AGRD Part 6.</t>
  </si>
  <si>
    <t>Where the input values do not align with the tables, graphs and figures in AGRD Part 6, these have been interpolated to provide an estimated value.</t>
  </si>
  <si>
    <t>2b. For multiple entries, complete the information in the LoN Schedule.</t>
  </si>
  <si>
    <t>Complete the "LoN Schedule" cells highlighted in LIGHT BLUE only.</t>
  </si>
  <si>
    <t>The "LoN Schedule" works in a similar way to the "Length of Need Calculator", only in the form of a schedule for ease of use.</t>
  </si>
  <si>
    <t>3. Create a PDF of the "Length of Need Calculator" and/or "LoN Schedule" or copy and paste the worksheets into the project report</t>
  </si>
  <si>
    <t>Print areas have been set on each sheet, however if you wish to amend this, you can select all the cells you wish to print.</t>
  </si>
  <si>
    <t>Disclaimers:</t>
  </si>
  <si>
    <t>1. The Department of Transport and Planning (Victoria) has developed this Length of Need calculator.</t>
  </si>
  <si>
    <t>2. This calculator applies to all roadside barrier types. For bridge approach barriers, refer BTN001.</t>
  </si>
  <si>
    <r>
      <t xml:space="preserve">3. This calculator has been developed based on the information contained in </t>
    </r>
    <r>
      <rPr>
        <i/>
        <sz val="11"/>
        <color rgb="FF00B2A9"/>
        <rFont val="Calibri"/>
        <family val="2"/>
        <scheme val="minor"/>
      </rPr>
      <t>Austroads Guide to Road Design Part 6.</t>
    </r>
  </si>
  <si>
    <r>
      <t xml:space="preserve">4. This calculator applies to straight sections of road, for curved sections refer to </t>
    </r>
    <r>
      <rPr>
        <i/>
        <sz val="11"/>
        <color rgb="FF00B2A9"/>
        <rFont val="Calibri"/>
        <family val="2"/>
        <scheme val="minor"/>
      </rPr>
      <t>Austroads Guide to Road Design Part 6 Section 6.9.3.</t>
    </r>
  </si>
  <si>
    <t>5. Values provided by this calculator are minimum lengths. Acceptance of values below those given in this calculator will require approval through appropriate governance.</t>
  </si>
  <si>
    <t>6. This calculator DOES NOT provide the Total Length of Barrier, which will be longer depending of the type of barrier and specific products chosen.</t>
  </si>
  <si>
    <t xml:space="preserve">7. The calculator has been checked and reviewed but may still contain errors. These will be updated in subsequent releases of the calculator. </t>
  </si>
  <si>
    <t>8. It is the responsibility of the user to check values from this calculator against the guidance in Austroads Guide to Road Design Part 6.</t>
  </si>
  <si>
    <t>9. It is the responsibility of the user to ensure they are using the most current Length of Need calculator.</t>
  </si>
  <si>
    <r>
      <t xml:space="preserve">10. If you have any corrections or suggestions, please contact the </t>
    </r>
    <r>
      <rPr>
        <i/>
        <sz val="11"/>
        <color rgb="FF00B2A9"/>
        <rFont val="Calibri"/>
        <family val="2"/>
        <scheme val="minor"/>
      </rPr>
      <t>DTP Road Standards</t>
    </r>
    <r>
      <rPr>
        <sz val="11"/>
        <color rgb="FF00B2A9"/>
        <rFont val="Calibri"/>
        <family val="2"/>
        <scheme val="minor"/>
      </rPr>
      <t xml:space="preserve"> team. </t>
    </r>
  </si>
  <si>
    <r>
      <rPr>
        <b/>
        <sz val="11"/>
        <rFont val="Calibri"/>
        <family val="2"/>
        <scheme val="minor"/>
      </rPr>
      <t xml:space="preserve"> </t>
    </r>
    <r>
      <rPr>
        <b/>
        <u/>
        <sz val="11"/>
        <rFont val="Calibri"/>
        <family val="2"/>
        <scheme val="minor"/>
      </rPr>
      <t>Question</t>
    </r>
  </si>
  <si>
    <t>Input</t>
  </si>
  <si>
    <t>Comment</t>
  </si>
  <si>
    <t>Q.1</t>
  </si>
  <si>
    <t>Is the road a one-way or two-way carraigeway?</t>
  </si>
  <si>
    <t>One-way carriageways must not have opposing vehicle impacts</t>
  </si>
  <si>
    <t>Q.2</t>
  </si>
  <si>
    <t>What is the operating speed (km/h) of this section of road?</t>
  </si>
  <si>
    <t>The operating speed may be greater or less than the posted speed based on the road geometry. If you are unsure, make a selection based on the posted speed of the road.</t>
  </si>
  <si>
    <t>Q.3</t>
  </si>
  <si>
    <t>What is the AADT for this section of road?</t>
  </si>
  <si>
    <t>The AADT is two-way for undivided roads. The AADT is for each carriageway where the road is divided.</t>
  </si>
  <si>
    <t>Q.4</t>
  </si>
  <si>
    <t>Does the hazard extend a long distance perpendicular to the road?</t>
  </si>
  <si>
    <r>
      <t xml:space="preserve">The hazard is a large impediment, such as a road, train tracks, or similar "endless" hazard. Refer </t>
    </r>
    <r>
      <rPr>
        <i/>
        <sz val="9"/>
        <color theme="1"/>
        <rFont val="Calibri"/>
        <family val="2"/>
        <scheme val="minor"/>
      </rPr>
      <t>Austroads Guide to Road Design Part 6</t>
    </r>
    <r>
      <rPr>
        <sz val="9"/>
        <color theme="1"/>
        <rFont val="Calibri"/>
        <family val="2"/>
        <scheme val="minor"/>
      </rPr>
      <t xml:space="preserve"> Section 6.9.2</t>
    </r>
  </si>
  <si>
    <t>Q.5</t>
  </si>
  <si>
    <t>Is the barrier flared?</t>
  </si>
  <si>
    <r>
      <rPr>
        <b/>
        <sz val="11"/>
        <rFont val="Calibri"/>
        <family val="2"/>
        <scheme val="minor"/>
      </rPr>
      <t xml:space="preserve"> </t>
    </r>
    <r>
      <rPr>
        <b/>
        <u/>
        <sz val="11"/>
        <rFont val="Calibri"/>
        <family val="2"/>
        <scheme val="minor"/>
      </rPr>
      <t>Information about the Roadside Hazard/s</t>
    </r>
  </si>
  <si>
    <t>Abb.</t>
  </si>
  <si>
    <t>Q.6</t>
  </si>
  <si>
    <t>Lateral extent of hazard/s from the edge of traffic lane</t>
  </si>
  <si>
    <r>
      <rPr>
        <b/>
        <sz val="12"/>
        <color theme="1"/>
        <rFont val="Calibri"/>
        <family val="2"/>
        <scheme val="minor"/>
      </rPr>
      <t>L</t>
    </r>
    <r>
      <rPr>
        <b/>
        <vertAlign val="subscript"/>
        <sz val="12"/>
        <color theme="1"/>
        <rFont val="Calibri"/>
        <family val="2"/>
        <scheme val="minor"/>
      </rPr>
      <t>A</t>
    </r>
    <r>
      <rPr>
        <b/>
        <sz val="9"/>
        <color theme="1"/>
        <rFont val="Calibri"/>
        <family val="2"/>
        <scheme val="minor"/>
      </rPr>
      <t xml:space="preserve"> </t>
    </r>
    <r>
      <rPr>
        <sz val="9"/>
        <color theme="1"/>
        <rFont val="Calibri"/>
        <family val="2"/>
        <scheme val="minor"/>
      </rPr>
      <t>(Leading)</t>
    </r>
  </si>
  <si>
    <r>
      <t xml:space="preserve">Refer to </t>
    </r>
    <r>
      <rPr>
        <i/>
        <sz val="9"/>
        <color theme="1"/>
        <rFont val="Calibri"/>
        <family val="2"/>
        <scheme val="minor"/>
      </rPr>
      <t xml:space="preserve">Austroads Guide to Road Design Part 6 </t>
    </r>
    <r>
      <rPr>
        <sz val="9"/>
        <color theme="1"/>
        <rFont val="Calibri"/>
        <family val="2"/>
        <scheme val="minor"/>
      </rPr>
      <t>Figure 6.12.</t>
    </r>
  </si>
  <si>
    <t>Q.7</t>
  </si>
  <si>
    <t>Barrier offset from the edge of traffic lane</t>
  </si>
  <si>
    <r>
      <rPr>
        <b/>
        <sz val="12"/>
        <color theme="1"/>
        <rFont val="Calibri"/>
        <family val="2"/>
        <scheme val="minor"/>
      </rPr>
      <t>L</t>
    </r>
    <r>
      <rPr>
        <b/>
        <vertAlign val="subscript"/>
        <sz val="12"/>
        <color theme="1"/>
        <rFont val="Calibri"/>
        <family val="2"/>
        <scheme val="minor"/>
      </rPr>
      <t>2</t>
    </r>
    <r>
      <rPr>
        <sz val="9"/>
        <color theme="1"/>
        <rFont val="Calibri"/>
        <family val="2"/>
        <scheme val="minor"/>
      </rPr>
      <t xml:space="preserve"> (Leading)</t>
    </r>
  </si>
  <si>
    <r>
      <t xml:space="preserve">Refer to </t>
    </r>
    <r>
      <rPr>
        <i/>
        <sz val="9"/>
        <color theme="1"/>
        <rFont val="Calibri"/>
        <family val="2"/>
        <scheme val="minor"/>
      </rPr>
      <t>Austroads Guide to Road Design Part 6</t>
    </r>
    <r>
      <rPr>
        <sz val="9"/>
        <color theme="1"/>
        <rFont val="Calibri"/>
        <family val="2"/>
        <scheme val="minor"/>
      </rPr>
      <t xml:space="preserve"> Figure 6.12.</t>
    </r>
  </si>
  <si>
    <t>Q.8</t>
  </si>
  <si>
    <t>Lateral extent of hazard/s from the edge of opposing traffic lane</t>
  </si>
  <si>
    <r>
      <rPr>
        <b/>
        <sz val="12"/>
        <color theme="1"/>
        <rFont val="Calibri"/>
        <family val="2"/>
        <scheme val="minor"/>
      </rPr>
      <t>L</t>
    </r>
    <r>
      <rPr>
        <b/>
        <vertAlign val="subscript"/>
        <sz val="12"/>
        <color theme="1"/>
        <rFont val="Calibri"/>
        <family val="2"/>
        <scheme val="minor"/>
      </rPr>
      <t>A</t>
    </r>
    <r>
      <rPr>
        <b/>
        <sz val="11"/>
        <color theme="1"/>
        <rFont val="Calibri"/>
        <family val="2"/>
        <scheme val="minor"/>
      </rPr>
      <t xml:space="preserve"> </t>
    </r>
    <r>
      <rPr>
        <sz val="9"/>
        <color theme="1"/>
        <rFont val="Calibri"/>
        <family val="2"/>
        <scheme val="minor"/>
      </rPr>
      <t>(Trailing)</t>
    </r>
  </si>
  <si>
    <r>
      <t xml:space="preserve">Refer to </t>
    </r>
    <r>
      <rPr>
        <i/>
        <sz val="9"/>
        <color theme="1"/>
        <rFont val="Calibri"/>
        <family val="2"/>
        <scheme val="minor"/>
      </rPr>
      <t>Austroads Guide to Road Design Part 6</t>
    </r>
    <r>
      <rPr>
        <sz val="9"/>
        <color theme="1"/>
        <rFont val="Calibri"/>
        <family val="2"/>
        <scheme val="minor"/>
      </rPr>
      <t xml:space="preserve"> Figure 6.13.</t>
    </r>
  </si>
  <si>
    <t>Q.9</t>
  </si>
  <si>
    <t>Barrier offset from the edge of opposing traffic lane</t>
  </si>
  <si>
    <r>
      <rPr>
        <b/>
        <sz val="12"/>
        <color theme="1"/>
        <rFont val="Calibri"/>
        <family val="2"/>
        <scheme val="minor"/>
      </rPr>
      <t>L</t>
    </r>
    <r>
      <rPr>
        <b/>
        <vertAlign val="subscript"/>
        <sz val="12"/>
        <color theme="1"/>
        <rFont val="Calibri"/>
        <family val="2"/>
        <scheme val="minor"/>
      </rPr>
      <t>2</t>
    </r>
    <r>
      <rPr>
        <sz val="9"/>
        <color theme="1"/>
        <rFont val="Calibri"/>
        <family val="2"/>
        <scheme val="minor"/>
      </rPr>
      <t xml:space="preserve"> (Trailing)</t>
    </r>
  </si>
  <si>
    <t>Q.10</t>
  </si>
  <si>
    <t>Offset from the edge of traffic lane to hazard/s</t>
  </si>
  <si>
    <r>
      <t>L</t>
    </r>
    <r>
      <rPr>
        <b/>
        <vertAlign val="subscript"/>
        <sz val="11"/>
        <color theme="1"/>
        <rFont val="Calibri"/>
        <family val="2"/>
        <scheme val="minor"/>
      </rPr>
      <t>3</t>
    </r>
  </si>
  <si>
    <t>Refer to Austroads Guide to Road Design Part 6 Figure 6.14.</t>
  </si>
  <si>
    <t>Q.11</t>
  </si>
  <si>
    <t>Total width of the hazard/s</t>
  </si>
  <si>
    <t>W</t>
  </si>
  <si>
    <t>Where multiple smaller hazards are spaced such that the barriers crossover or are otherwise constrained, treat as a single longer hazard.</t>
  </si>
  <si>
    <t>Q.12</t>
  </si>
  <si>
    <t>(OPTIONAL) Offset from face of barrier to Leading Point of Need</t>
  </si>
  <si>
    <r>
      <t xml:space="preserve">F </t>
    </r>
    <r>
      <rPr>
        <sz val="9"/>
        <color theme="1"/>
        <rFont val="Calibri"/>
        <family val="2"/>
        <scheme val="minor"/>
      </rPr>
      <t>(Leading)</t>
    </r>
  </si>
  <si>
    <t>Only use if the barrier is flared, otherwise leave as 0. Suitable F (leading) values will depend on site constraints - including verge widths, barrier flare rates, and the terminal type. Typical values are 0m to 1m.</t>
  </si>
  <si>
    <t>Q.13</t>
  </si>
  <si>
    <t>(OPTIONAL) Offset from face of barrier to Trailing Point of Need</t>
  </si>
  <si>
    <r>
      <t>F</t>
    </r>
    <r>
      <rPr>
        <sz val="11"/>
        <color theme="1"/>
        <rFont val="Calibri"/>
        <family val="2"/>
        <scheme val="minor"/>
      </rPr>
      <t xml:space="preserve"> </t>
    </r>
    <r>
      <rPr>
        <sz val="9"/>
        <color theme="1"/>
        <rFont val="Calibri"/>
        <family val="2"/>
        <scheme val="minor"/>
      </rPr>
      <t>(Trailing)</t>
    </r>
  </si>
  <si>
    <r>
      <t xml:space="preserve"> </t>
    </r>
    <r>
      <rPr>
        <b/>
        <u/>
        <sz val="11"/>
        <rFont val="Calibri"/>
        <family val="2"/>
        <scheme val="minor"/>
      </rPr>
      <t>Values</t>
    </r>
  </si>
  <si>
    <t>V.1</t>
  </si>
  <si>
    <t>Run-out Length</t>
  </si>
  <si>
    <r>
      <t>L</t>
    </r>
    <r>
      <rPr>
        <b/>
        <vertAlign val="subscript"/>
        <sz val="11"/>
        <color theme="1"/>
        <rFont val="Calibri"/>
        <family val="2"/>
        <scheme val="minor"/>
      </rPr>
      <t>R</t>
    </r>
  </si>
  <si>
    <r>
      <t xml:space="preserve">Refer to </t>
    </r>
    <r>
      <rPr>
        <i/>
        <sz val="9"/>
        <color theme="1"/>
        <rFont val="Calibri"/>
        <family val="2"/>
        <scheme val="minor"/>
      </rPr>
      <t>Austroads Guide to Road Design Part 6</t>
    </r>
    <r>
      <rPr>
        <sz val="9"/>
        <color theme="1"/>
        <rFont val="Calibri"/>
        <family val="2"/>
        <scheme val="minor"/>
      </rPr>
      <t xml:space="preserve"> Table 6.10.</t>
    </r>
  </si>
  <si>
    <t>V.2</t>
  </si>
  <si>
    <t>Leading Angle of Departure (in radians)</t>
  </si>
  <si>
    <r>
      <t>a</t>
    </r>
    <r>
      <rPr>
        <b/>
        <vertAlign val="subscript"/>
        <sz val="11"/>
        <color theme="1"/>
        <rFont val="Calibri"/>
        <family val="2"/>
        <scheme val="minor"/>
      </rPr>
      <t>L</t>
    </r>
  </si>
  <si>
    <r>
      <t xml:space="preserve">Refer to </t>
    </r>
    <r>
      <rPr>
        <i/>
        <sz val="9"/>
        <color theme="1"/>
        <rFont val="Calibri"/>
        <family val="2"/>
        <scheme val="minor"/>
      </rPr>
      <t>Austroads Guide to Road Design Part 6</t>
    </r>
    <r>
      <rPr>
        <sz val="9"/>
        <color theme="1"/>
        <rFont val="Calibri"/>
        <family val="2"/>
        <scheme val="minor"/>
      </rPr>
      <t xml:space="preserve"> Equation 5.</t>
    </r>
  </si>
  <si>
    <r>
      <t xml:space="preserve"> </t>
    </r>
    <r>
      <rPr>
        <b/>
        <u/>
        <sz val="11"/>
        <rFont val="Calibri"/>
        <family val="2"/>
        <scheme val="minor"/>
      </rPr>
      <t>Outputs</t>
    </r>
  </si>
  <si>
    <t>V.3</t>
  </si>
  <si>
    <t>Leading Point of Need</t>
  </si>
  <si>
    <r>
      <t>X</t>
    </r>
    <r>
      <rPr>
        <b/>
        <vertAlign val="subscript"/>
        <sz val="11"/>
        <color theme="1"/>
        <rFont val="Calibri"/>
        <family val="2"/>
        <scheme val="minor"/>
      </rPr>
      <t>1</t>
    </r>
  </si>
  <si>
    <r>
      <t xml:space="preserve">Refer to </t>
    </r>
    <r>
      <rPr>
        <i/>
        <sz val="9"/>
        <color theme="1"/>
        <rFont val="Calibri"/>
        <family val="2"/>
        <scheme val="minor"/>
      </rPr>
      <t>Austroads Guide to Road Design Part 6</t>
    </r>
    <r>
      <rPr>
        <sz val="9"/>
        <color theme="1"/>
        <rFont val="Calibri"/>
        <family val="2"/>
        <scheme val="minor"/>
      </rPr>
      <t xml:space="preserve"> Equation 4.</t>
    </r>
  </si>
  <si>
    <t>V.4</t>
  </si>
  <si>
    <t>Refer to Q.11 above.</t>
  </si>
  <si>
    <t>V.5</t>
  </si>
  <si>
    <t>Trailing Point of Need (One-way)</t>
  </si>
  <si>
    <t>Z</t>
  </si>
  <si>
    <r>
      <t xml:space="preserve">Refer to </t>
    </r>
    <r>
      <rPr>
        <i/>
        <sz val="9"/>
        <color theme="1"/>
        <rFont val="Calibri"/>
        <family val="2"/>
        <scheme val="minor"/>
      </rPr>
      <t>Austroads Guide to Road Design Part 6</t>
    </r>
    <r>
      <rPr>
        <sz val="9"/>
        <color theme="1"/>
        <rFont val="Calibri"/>
        <family val="2"/>
        <scheme val="minor"/>
      </rPr>
      <t xml:space="preserve"> Equation 10.</t>
    </r>
  </si>
  <si>
    <t>V.6</t>
  </si>
  <si>
    <t>Trailing Point of Need (Two-way)</t>
  </si>
  <si>
    <r>
      <t>X</t>
    </r>
    <r>
      <rPr>
        <b/>
        <vertAlign val="subscript"/>
        <sz val="11"/>
        <color theme="1"/>
        <rFont val="Calibri"/>
        <family val="2"/>
        <scheme val="minor"/>
      </rPr>
      <t>2</t>
    </r>
  </si>
  <si>
    <r>
      <rPr>
        <sz val="12"/>
        <rFont val="Calibri"/>
        <family val="2"/>
        <scheme val="minor"/>
      </rPr>
      <t xml:space="preserve"> </t>
    </r>
    <r>
      <rPr>
        <b/>
        <u/>
        <sz val="12"/>
        <rFont val="Calibri"/>
        <family val="2"/>
        <scheme val="minor"/>
      </rPr>
      <t>Total Length of Need</t>
    </r>
  </si>
  <si>
    <t>REMINDER: Total Length of Need is NOT the Total Length of Barrier.</t>
  </si>
  <si>
    <t>Length of Need Schedule</t>
  </si>
  <si>
    <t>Inputs</t>
  </si>
  <si>
    <t>Values</t>
  </si>
  <si>
    <t>Outputs</t>
  </si>
  <si>
    <t>No.</t>
  </si>
  <si>
    <t>Barrier Identity</t>
  </si>
  <si>
    <t>Carriageway</t>
  </si>
  <si>
    <t>Speed</t>
  </si>
  <si>
    <t>AADT</t>
  </si>
  <si>
    <t>Perp. Haz'd</t>
  </si>
  <si>
    <t>Flared</t>
  </si>
  <si>
    <r>
      <t>L</t>
    </r>
    <r>
      <rPr>
        <b/>
        <vertAlign val="subscript"/>
        <sz val="11"/>
        <rFont val="Calibri"/>
        <family val="2"/>
        <scheme val="minor"/>
      </rPr>
      <t>A</t>
    </r>
  </si>
  <si>
    <r>
      <t>L</t>
    </r>
    <r>
      <rPr>
        <b/>
        <vertAlign val="subscript"/>
        <sz val="11"/>
        <rFont val="Calibri"/>
        <family val="2"/>
        <scheme val="minor"/>
      </rPr>
      <t>2</t>
    </r>
  </si>
  <si>
    <r>
      <t>L</t>
    </r>
    <r>
      <rPr>
        <b/>
        <vertAlign val="subscript"/>
        <sz val="11"/>
        <rFont val="Calibri"/>
        <family val="2"/>
        <scheme val="minor"/>
      </rPr>
      <t>A</t>
    </r>
    <r>
      <rPr>
        <b/>
        <sz val="11"/>
        <rFont val="Calibri"/>
        <family val="2"/>
        <scheme val="minor"/>
      </rPr>
      <t xml:space="preserve"> (opp.)</t>
    </r>
  </si>
  <si>
    <r>
      <t>L</t>
    </r>
    <r>
      <rPr>
        <b/>
        <vertAlign val="subscript"/>
        <sz val="11"/>
        <rFont val="Calibri"/>
        <family val="2"/>
        <scheme val="minor"/>
      </rPr>
      <t>2</t>
    </r>
    <r>
      <rPr>
        <b/>
        <sz val="11"/>
        <rFont val="Calibri"/>
        <family val="2"/>
        <scheme val="minor"/>
      </rPr>
      <t xml:space="preserve"> (opp.)</t>
    </r>
  </si>
  <si>
    <t>L3</t>
  </si>
  <si>
    <t>F (lead)</t>
  </si>
  <si>
    <t>F (trail)</t>
  </si>
  <si>
    <t>LR</t>
  </si>
  <si>
    <r>
      <t>a</t>
    </r>
    <r>
      <rPr>
        <b/>
        <vertAlign val="subscript"/>
        <sz val="11"/>
        <rFont val="Calibri"/>
        <family val="2"/>
        <scheme val="minor"/>
      </rPr>
      <t>L</t>
    </r>
  </si>
  <si>
    <r>
      <t>X</t>
    </r>
    <r>
      <rPr>
        <b/>
        <vertAlign val="subscript"/>
        <sz val="11"/>
        <rFont val="Calibri"/>
        <family val="2"/>
        <scheme val="minor"/>
      </rPr>
      <t>1</t>
    </r>
    <r>
      <rPr>
        <b/>
        <sz val="11"/>
        <rFont val="Calibri"/>
        <family val="2"/>
        <scheme val="minor"/>
      </rPr>
      <t>'</t>
    </r>
  </si>
  <si>
    <r>
      <t>X</t>
    </r>
    <r>
      <rPr>
        <b/>
        <vertAlign val="subscript"/>
        <sz val="11"/>
        <rFont val="Calibri"/>
        <family val="2"/>
        <scheme val="minor"/>
      </rPr>
      <t>2</t>
    </r>
    <r>
      <rPr>
        <b/>
        <sz val="11"/>
        <rFont val="Calibri"/>
        <family val="2"/>
        <scheme val="minor"/>
      </rPr>
      <t>'</t>
    </r>
  </si>
  <si>
    <r>
      <t>X</t>
    </r>
    <r>
      <rPr>
        <b/>
        <vertAlign val="subscript"/>
        <sz val="11"/>
        <rFont val="Calibri"/>
        <family val="2"/>
        <scheme val="minor"/>
      </rPr>
      <t>1</t>
    </r>
  </si>
  <si>
    <t>W2</t>
  </si>
  <si>
    <r>
      <t>X</t>
    </r>
    <r>
      <rPr>
        <b/>
        <vertAlign val="subscript"/>
        <sz val="11"/>
        <rFont val="Calibri"/>
        <family val="2"/>
        <scheme val="minor"/>
      </rPr>
      <t>2</t>
    </r>
  </si>
  <si>
    <t>LoN Calc</t>
  </si>
  <si>
    <t>LoN</t>
  </si>
  <si>
    <t>Two-way</t>
  </si>
  <si>
    <t>5000-10000</t>
  </si>
  <si>
    <t>No</t>
  </si>
  <si>
    <t>One-way</t>
  </si>
  <si>
    <t>Yes</t>
  </si>
  <si>
    <t>Input Choices</t>
  </si>
  <si>
    <t>&gt;10000</t>
  </si>
  <si>
    <t>1000-5000</t>
  </si>
  <si>
    <t>&lt;1000</t>
  </si>
  <si>
    <t>Run-out length (Lr) for AADT range (m)</t>
  </si>
  <si>
    <t>Speed (km/h)</t>
  </si>
  <si>
    <r>
      <t>L</t>
    </r>
    <r>
      <rPr>
        <sz val="8"/>
        <color theme="1"/>
        <rFont val="Calibri"/>
        <family val="2"/>
        <scheme val="minor"/>
      </rPr>
      <t>R</t>
    </r>
  </si>
  <si>
    <t>Perp. Hazard</t>
  </si>
  <si>
    <t>One-Way</t>
  </si>
  <si>
    <t>2LR + W - Z</t>
  </si>
  <si>
    <r>
      <t>X</t>
    </r>
    <r>
      <rPr>
        <vertAlign val="subscript"/>
        <sz val="11"/>
        <color theme="1"/>
        <rFont val="Calibri"/>
        <family val="2"/>
        <scheme val="minor"/>
      </rPr>
      <t>1</t>
    </r>
    <r>
      <rPr>
        <sz val="11"/>
        <color theme="1"/>
        <rFont val="Calibri"/>
        <family val="2"/>
        <scheme val="minor"/>
      </rPr>
      <t xml:space="preserve"> + W - Z</t>
    </r>
  </si>
  <si>
    <t>Two-Way</t>
  </si>
  <si>
    <t>2LR + W + 2LR</t>
  </si>
  <si>
    <r>
      <t>X</t>
    </r>
    <r>
      <rPr>
        <vertAlign val="subscript"/>
        <sz val="11"/>
        <color theme="1"/>
        <rFont val="Calibri"/>
        <family val="2"/>
        <scheme val="minor"/>
      </rPr>
      <t>1</t>
    </r>
    <r>
      <rPr>
        <sz val="11"/>
        <color theme="1"/>
        <rFont val="Calibri"/>
        <family val="2"/>
        <scheme val="minor"/>
      </rPr>
      <t xml:space="preserve"> + W + X</t>
    </r>
    <r>
      <rPr>
        <vertAlign val="subscript"/>
        <sz val="11"/>
        <color theme="1"/>
        <rFont val="Calibri"/>
        <family val="2"/>
        <scheme val="minor"/>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</si>
</sst>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30" x14ac:knownFonts="1">
    <font>
      <sz val="11"/>
      <color theme="1"/>
      <name val="Calibri"/>
      <family val="2"/>
      <scheme val="minor"/>
    </font>
    <font>
      <b/>
      <sz val="11"/>
      <color theme="1"/>
      <name val="Calibri"/>
      <family val="2"/>
      <scheme val="minor"/>
    </font>
    <font>
      <sz val="9"/>
      <color theme="1"/>
      <name val="Calibri"/>
      <family val="2"/>
      <scheme val="minor"/>
    </font>
    <font>
      <sz val="8"/>
      <color theme="1"/>
      <name val="Calibri"/>
      <family val="2"/>
      <scheme val="minor"/>
    </font>
    <font>
      <sz val="8"/>
      <name val="Calibri"/>
      <family val="2"/>
      <scheme val="minor"/>
    </font>
    <font>
      <b/>
      <u/>
      <sz val="11"/>
      <color theme="1"/>
      <name val="Calibri"/>
      <family val="2"/>
      <scheme val="minor"/>
    </font>
    <font>
      <b/>
      <u/>
      <sz val="14"/>
      <color rgb="FF53565A"/>
      <name val="Calibri"/>
      <family val="2"/>
      <scheme val="minor"/>
    </font>
    <font>
      <b/>
      <sz val="11"/>
      <color rgb="FF53565A"/>
      <name val="Calibri"/>
      <family val="2"/>
      <scheme val="minor"/>
    </font>
    <font>
      <sz val="11"/>
      <color rgb="FF53565A"/>
      <name val="Calibri"/>
      <family val="2"/>
      <scheme val="minor"/>
    </font>
    <font>
      <i/>
      <sz val="11"/>
      <color rgb="FF00B2A9"/>
      <name val="Calibri"/>
      <family val="2"/>
      <scheme val="minor"/>
    </font>
    <font>
      <sz val="11"/>
      <color rgb="FF24BABD"/>
      <name val="Calibri"/>
      <family val="2"/>
      <scheme val="minor"/>
    </font>
    <font>
      <sz val="11"/>
      <color rgb="FF00B2A9"/>
      <name val="Calibri"/>
      <family val="2"/>
      <scheme val="minor"/>
    </font>
    <font>
      <b/>
      <u/>
      <sz val="11"/>
      <color rgb="FF00B2A9"/>
      <name val="Calibri"/>
      <family val="2"/>
      <scheme val="minor"/>
    </font>
    <font>
      <sz val="10"/>
      <color theme="1"/>
      <name val="Calibri"/>
      <family val="2"/>
      <scheme val="minor"/>
    </font>
    <font>
      <b/>
      <sz val="9"/>
      <color theme="1"/>
      <name val="Calibri"/>
      <family val="2"/>
      <scheme val="minor"/>
    </font>
    <font>
      <sz val="14"/>
      <color theme="1"/>
      <name val="Calibri"/>
      <family val="2"/>
      <scheme val="minor"/>
    </font>
    <font>
      <b/>
      <sz val="12"/>
      <color theme="1"/>
      <name val="Calibri"/>
      <family val="2"/>
      <scheme val="minor"/>
    </font>
    <font>
      <b/>
      <sz val="14"/>
      <color theme="1"/>
      <name val="Calibri"/>
      <family val="2"/>
      <scheme val="minor"/>
    </font>
    <font>
      <i/>
      <sz val="9"/>
      <color theme="1"/>
      <name val="Calibri"/>
      <family val="2"/>
      <scheme val="minor"/>
    </font>
    <font>
      <sz val="8"/>
      <color rgb="FFFF0000"/>
      <name val="Calibri"/>
      <family val="2"/>
      <scheme val="minor"/>
    </font>
    <font>
      <b/>
      <u/>
      <sz val="12"/>
      <name val="Calibri"/>
      <family val="2"/>
      <scheme val="minor"/>
    </font>
    <font>
      <b/>
      <sz val="11"/>
      <name val="Calibri"/>
      <family val="2"/>
      <scheme val="minor"/>
    </font>
    <font>
      <b/>
      <u/>
      <sz val="11"/>
      <name val="Calibri"/>
      <family val="2"/>
      <scheme val="minor"/>
    </font>
    <font>
      <sz val="11"/>
      <name val="Calibri"/>
      <family val="2"/>
      <scheme val="minor"/>
    </font>
    <font>
      <sz val="9"/>
      <name val="Calibri"/>
      <family val="2"/>
      <scheme val="minor"/>
    </font>
    <font>
      <b/>
      <vertAlign val="subscript"/>
      <sz val="11"/>
      <color theme="1"/>
      <name val="Calibri"/>
      <family val="2"/>
      <scheme val="minor"/>
    </font>
    <font>
      <sz val="12"/>
      <name val="Calibri"/>
      <family val="2"/>
      <scheme val="minor"/>
    </font>
    <font>
      <b/>
      <vertAlign val="subscript"/>
      <sz val="12"/>
      <color theme="1"/>
      <name val="Calibri"/>
      <family val="2"/>
      <scheme val="minor"/>
    </font>
    <font>
      <vertAlign val="subscript"/>
      <sz val="11"/>
      <color theme="1"/>
      <name val="Calibri"/>
      <family val="2"/>
      <scheme val="minor"/>
    </font>
    <font>
      <b/>
      <vertAlign val="subscript"/>
      <sz val="11"/>
      <name val="Calibri"/>
      <family val="2"/>
      <scheme val="minor"/>
    </font>
  </fonts>
  <fills count="18">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59999389629810485"/>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s>
  <cellStyleXfs count="1">
    <xf numFmtId="0" fontId="0" fillId="0" borderId="0"/>
  </cellStyleXfs>
  <cellXfs count="234">
    <xf numFmtId="0" fontId="0" fillId="0" borderId="0" xfId="0"/>
    <xf numFmtId="0" fontId="0" fillId="0" borderId="0" xfId="0" applyAlignment="1">
      <alignment horizontal="center"/>
    </xf>
    <xf numFmtId="0" fontId="0" fillId="0" borderId="1"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2"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0" fontId="0" fillId="0" borderId="19" xfId="0" applyBorder="1" applyAlignment="1">
      <alignment horizontal="center"/>
    </xf>
    <xf numFmtId="0" fontId="0" fillId="0" borderId="0" xfId="0" applyAlignment="1">
      <alignment horizontal="left"/>
    </xf>
    <xf numFmtId="0" fontId="5" fillId="0" borderId="0" xfId="0" applyFont="1" applyAlignment="1">
      <alignment horizontal="center"/>
    </xf>
    <xf numFmtId="0" fontId="6" fillId="2" borderId="0" xfId="0" applyFont="1" applyFill="1"/>
    <xf numFmtId="0" fontId="0" fillId="2" borderId="0" xfId="0" applyFill="1"/>
    <xf numFmtId="0" fontId="7" fillId="2" borderId="0" xfId="0" applyFont="1" applyFill="1"/>
    <xf numFmtId="0" fontId="8" fillId="2" borderId="0" xfId="0" applyFont="1" applyFill="1"/>
    <xf numFmtId="0" fontId="8" fillId="2" borderId="0" xfId="0" applyFont="1" applyFill="1" applyProtection="1">
      <protection locked="0"/>
    </xf>
    <xf numFmtId="0" fontId="9" fillId="2" borderId="0" xfId="0" applyFont="1" applyFill="1"/>
    <xf numFmtId="0" fontId="10" fillId="2" borderId="0" xfId="0" applyFont="1" applyFill="1"/>
    <xf numFmtId="0" fontId="11" fillId="2" borderId="0" xfId="0" applyFont="1" applyFill="1"/>
    <xf numFmtId="0" fontId="12" fillId="2" borderId="0" xfId="0" applyFont="1" applyFill="1"/>
    <xf numFmtId="0" fontId="0" fillId="3" borderId="0" xfId="0" applyFill="1"/>
    <xf numFmtId="165" fontId="0" fillId="0" borderId="0" xfId="0" applyNumberFormat="1" applyAlignment="1">
      <alignment horizontal="left"/>
    </xf>
    <xf numFmtId="164" fontId="13" fillId="10" borderId="29" xfId="0" applyNumberFormat="1" applyFont="1" applyFill="1" applyBorder="1" applyAlignment="1">
      <alignment horizontal="center"/>
    </xf>
    <xf numFmtId="0" fontId="0" fillId="6" borderId="21" xfId="0" applyFill="1" applyBorder="1" applyAlignment="1">
      <alignment vertical="center"/>
    </xf>
    <xf numFmtId="0" fontId="0" fillId="6" borderId="0" xfId="0" applyFill="1" applyAlignment="1">
      <alignment vertical="center"/>
    </xf>
    <xf numFmtId="0" fontId="1" fillId="6" borderId="39" xfId="0" applyFont="1" applyFill="1" applyBorder="1" applyAlignment="1">
      <alignment horizontal="center" vertical="center"/>
    </xf>
    <xf numFmtId="0" fontId="0" fillId="6" borderId="39" xfId="0" applyFill="1" applyBorder="1" applyAlignment="1">
      <alignment vertical="center"/>
    </xf>
    <xf numFmtId="0" fontId="0" fillId="6" borderId="42" xfId="0" applyFill="1" applyBorder="1" applyAlignment="1">
      <alignment vertical="center"/>
    </xf>
    <xf numFmtId="0" fontId="0" fillId="6" borderId="39" xfId="0" applyFill="1" applyBorder="1" applyAlignment="1">
      <alignment horizontal="left" vertical="center"/>
    </xf>
    <xf numFmtId="0" fontId="0" fillId="6" borderId="12" xfId="0" applyFill="1" applyBorder="1" applyAlignment="1">
      <alignment vertical="center"/>
    </xf>
    <xf numFmtId="0" fontId="0" fillId="6" borderId="18" xfId="0" applyFill="1" applyBorder="1" applyAlignment="1">
      <alignment vertical="center"/>
    </xf>
    <xf numFmtId="0" fontId="0" fillId="6" borderId="43" xfId="0" applyFill="1" applyBorder="1" applyAlignment="1">
      <alignment vertical="center"/>
    </xf>
    <xf numFmtId="0" fontId="1" fillId="6" borderId="18" xfId="0" applyFont="1" applyFill="1" applyBorder="1" applyAlignment="1">
      <alignment horizontal="center" vertical="center"/>
    </xf>
    <xf numFmtId="0" fontId="0" fillId="6" borderId="40" xfId="0" applyFill="1" applyBorder="1" applyAlignment="1">
      <alignment horizontal="center" vertical="center"/>
    </xf>
    <xf numFmtId="0" fontId="0" fillId="6" borderId="17" xfId="0" applyFill="1" applyBorder="1" applyAlignment="1">
      <alignment horizontal="center" vertical="center"/>
    </xf>
    <xf numFmtId="0" fontId="0" fillId="6" borderId="18" xfId="0" applyFill="1" applyBorder="1" applyAlignment="1">
      <alignment horizontal="left" vertical="center"/>
    </xf>
    <xf numFmtId="0" fontId="0" fillId="13" borderId="20" xfId="0" applyFill="1" applyBorder="1"/>
    <xf numFmtId="0" fontId="2" fillId="13" borderId="23" xfId="0" applyFont="1" applyFill="1" applyBorder="1" applyAlignment="1">
      <alignment horizontal="left" vertical="center" wrapText="1"/>
    </xf>
    <xf numFmtId="0" fontId="0" fillId="13" borderId="24" xfId="0" applyFill="1" applyBorder="1"/>
    <xf numFmtId="0" fontId="2" fillId="13" borderId="26" xfId="0" applyFont="1" applyFill="1" applyBorder="1" applyAlignment="1">
      <alignment horizontal="left" vertical="center" wrapText="1"/>
    </xf>
    <xf numFmtId="0" fontId="0" fillId="13" borderId="28" xfId="0" applyFill="1" applyBorder="1"/>
    <xf numFmtId="0" fontId="2" fillId="13" borderId="38" xfId="0" applyFont="1" applyFill="1" applyBorder="1" applyAlignment="1">
      <alignment horizontal="left" vertical="center" wrapText="1"/>
    </xf>
    <xf numFmtId="0" fontId="0" fillId="13" borderId="4" xfId="0" applyFill="1" applyBorder="1"/>
    <xf numFmtId="0" fontId="0" fillId="13" borderId="0" xfId="0" applyFill="1"/>
    <xf numFmtId="0" fontId="0" fillId="13" borderId="45" xfId="0" applyFill="1" applyBorder="1"/>
    <xf numFmtId="0" fontId="2" fillId="13" borderId="41" xfId="0" applyFont="1" applyFill="1" applyBorder="1" applyAlignment="1">
      <alignment horizontal="left" vertical="center" wrapText="1"/>
    </xf>
    <xf numFmtId="0" fontId="0" fillId="6" borderId="46" xfId="0" applyFill="1" applyBorder="1" applyAlignment="1">
      <alignment horizontal="center" vertical="center"/>
    </xf>
    <xf numFmtId="0" fontId="0" fillId="6" borderId="47" xfId="0" applyFill="1" applyBorder="1" applyAlignment="1">
      <alignment horizontal="left" vertical="center"/>
    </xf>
    <xf numFmtId="0" fontId="0" fillId="6" borderId="48" xfId="0" applyFill="1" applyBorder="1" applyAlignment="1">
      <alignment vertical="center"/>
    </xf>
    <xf numFmtId="0" fontId="1" fillId="6" borderId="47" xfId="0" applyFont="1" applyFill="1" applyBorder="1" applyAlignment="1">
      <alignment horizontal="center" vertical="center" wrapText="1"/>
    </xf>
    <xf numFmtId="0" fontId="1" fillId="6" borderId="18" xfId="0" applyFont="1" applyFill="1" applyBorder="1" applyAlignment="1">
      <alignment horizontal="center" vertical="center" wrapText="1"/>
    </xf>
    <xf numFmtId="0" fontId="2" fillId="13" borderId="5" xfId="0" applyFont="1" applyFill="1" applyBorder="1" applyAlignment="1">
      <alignment horizontal="left" vertical="center"/>
    </xf>
    <xf numFmtId="0" fontId="1" fillId="7" borderId="49" xfId="0" applyFont="1" applyFill="1" applyBorder="1" applyAlignment="1">
      <alignment horizontal="center" vertical="center"/>
    </xf>
    <xf numFmtId="0" fontId="0" fillId="7" borderId="51" xfId="0" applyFill="1" applyBorder="1" applyAlignment="1">
      <alignment horizontal="left" vertical="center"/>
    </xf>
    <xf numFmtId="0" fontId="0" fillId="7" borderId="51" xfId="0" applyFill="1" applyBorder="1" applyAlignment="1">
      <alignment vertical="center"/>
    </xf>
    <xf numFmtId="0" fontId="1" fillId="7" borderId="10" xfId="0" applyFont="1" applyFill="1" applyBorder="1" applyAlignment="1">
      <alignment horizontal="center" vertical="center"/>
    </xf>
    <xf numFmtId="0" fontId="0" fillId="13" borderId="21" xfId="0" applyFill="1" applyBorder="1"/>
    <xf numFmtId="0" fontId="2" fillId="13" borderId="23" xfId="0" applyFont="1" applyFill="1" applyBorder="1" applyAlignment="1">
      <alignment horizontal="left" vertical="center"/>
    </xf>
    <xf numFmtId="0" fontId="0" fillId="13" borderId="51" xfId="0" applyFill="1" applyBorder="1"/>
    <xf numFmtId="0" fontId="2" fillId="13" borderId="50" xfId="0" applyFont="1" applyFill="1" applyBorder="1" applyAlignment="1">
      <alignment horizontal="left" vertical="center"/>
    </xf>
    <xf numFmtId="0" fontId="0" fillId="13" borderId="42" xfId="0" applyFill="1" applyBorder="1"/>
    <xf numFmtId="0" fontId="0" fillId="13" borderId="52" xfId="0" applyFill="1" applyBorder="1"/>
    <xf numFmtId="0" fontId="0" fillId="13" borderId="37" xfId="0" applyFill="1" applyBorder="1"/>
    <xf numFmtId="0" fontId="1" fillId="9" borderId="49" xfId="0" applyFont="1" applyFill="1" applyBorder="1" applyAlignment="1">
      <alignment horizontal="center" vertical="center"/>
    </xf>
    <xf numFmtId="0" fontId="0" fillId="9" borderId="42" xfId="0" applyFill="1" applyBorder="1" applyAlignment="1">
      <alignment horizontal="left" vertical="center"/>
    </xf>
    <xf numFmtId="0" fontId="1" fillId="9" borderId="8" xfId="0" applyFont="1" applyFill="1" applyBorder="1" applyAlignment="1">
      <alignment horizontal="center" vertical="center"/>
    </xf>
    <xf numFmtId="0" fontId="0" fillId="9" borderId="12" xfId="0" applyFill="1" applyBorder="1" applyAlignment="1">
      <alignment vertical="center"/>
    </xf>
    <xf numFmtId="0" fontId="1" fillId="9" borderId="53" xfId="0" applyFont="1" applyFill="1" applyBorder="1" applyAlignment="1">
      <alignment horizontal="center" vertical="center"/>
    </xf>
    <xf numFmtId="0" fontId="1" fillId="9" borderId="19" xfId="0" applyFont="1" applyFill="1" applyBorder="1" applyAlignment="1">
      <alignment horizontal="center" vertical="center"/>
    </xf>
    <xf numFmtId="164" fontId="0" fillId="10" borderId="22" xfId="0" applyNumberFormat="1" applyFill="1" applyBorder="1" applyAlignment="1">
      <alignment horizontal="center" vertical="center"/>
    </xf>
    <xf numFmtId="0" fontId="0" fillId="8" borderId="22" xfId="0" applyFill="1" applyBorder="1" applyAlignment="1">
      <alignment horizontal="center" vertical="center"/>
    </xf>
    <xf numFmtId="165" fontId="0" fillId="8" borderId="16" xfId="0" applyNumberFormat="1" applyFill="1" applyBorder="1" applyAlignment="1">
      <alignment horizontal="center" vertical="center"/>
    </xf>
    <xf numFmtId="0" fontId="23" fillId="13" borderId="4" xfId="0" applyFont="1" applyFill="1" applyBorder="1"/>
    <xf numFmtId="0" fontId="24" fillId="13" borderId="5" xfId="0" applyFont="1" applyFill="1" applyBorder="1" applyAlignment="1">
      <alignment horizontal="left" vertical="center" wrapText="1"/>
    </xf>
    <xf numFmtId="0" fontId="22" fillId="14" borderId="3" xfId="0" applyFont="1" applyFill="1" applyBorder="1" applyAlignment="1">
      <alignment vertical="center"/>
    </xf>
    <xf numFmtId="0" fontId="23" fillId="13" borderId="3" xfId="0" applyFont="1" applyFill="1" applyBorder="1"/>
    <xf numFmtId="0" fontId="22" fillId="13" borderId="5" xfId="0" applyFont="1" applyFill="1" applyBorder="1" applyAlignment="1">
      <alignment horizontal="left" vertical="center"/>
    </xf>
    <xf numFmtId="0" fontId="23" fillId="14" borderId="4" xfId="0" applyFont="1" applyFill="1" applyBorder="1" applyAlignment="1">
      <alignment horizontal="left"/>
    </xf>
    <xf numFmtId="0" fontId="23" fillId="14" borderId="4" xfId="0" applyFont="1" applyFill="1" applyBorder="1"/>
    <xf numFmtId="0" fontId="22" fillId="14" borderId="34" xfId="0" applyFont="1" applyFill="1" applyBorder="1" applyAlignment="1">
      <alignment horizontal="center" vertical="center"/>
    </xf>
    <xf numFmtId="0" fontId="22" fillId="14" borderId="2" xfId="0" applyFont="1" applyFill="1" applyBorder="1" applyAlignment="1">
      <alignment horizontal="center" vertical="center"/>
    </xf>
    <xf numFmtId="0" fontId="21" fillId="15" borderId="33" xfId="0" applyFont="1" applyFill="1" applyBorder="1" applyAlignment="1">
      <alignment horizontal="left" vertical="center"/>
    </xf>
    <xf numFmtId="0" fontId="23" fillId="15" borderId="4" xfId="0" applyFont="1" applyFill="1" applyBorder="1"/>
    <xf numFmtId="0" fontId="23" fillId="15" borderId="5" xfId="0" applyFont="1" applyFill="1" applyBorder="1"/>
    <xf numFmtId="0" fontId="21" fillId="16" borderId="33" xfId="0" applyFont="1" applyFill="1" applyBorder="1" applyAlignment="1">
      <alignment horizontal="left" vertical="center"/>
    </xf>
    <xf numFmtId="0" fontId="0" fillId="16" borderId="4" xfId="0" applyFill="1" applyBorder="1" applyAlignment="1">
      <alignment horizontal="left" vertical="center"/>
    </xf>
    <xf numFmtId="0" fontId="0" fillId="16" borderId="4" xfId="0" applyFill="1" applyBorder="1" applyAlignment="1">
      <alignment vertical="center"/>
    </xf>
    <xf numFmtId="0" fontId="1" fillId="16" borderId="4" xfId="0" applyFont="1" applyFill="1" applyBorder="1" applyAlignment="1">
      <alignment horizontal="center" vertical="center"/>
    </xf>
    <xf numFmtId="165" fontId="0" fillId="16" borderId="5" xfId="0" applyNumberFormat="1" applyFill="1" applyBorder="1" applyAlignment="1">
      <alignment horizontal="center" vertical="center"/>
    </xf>
    <xf numFmtId="164" fontId="0" fillId="10" borderId="15" xfId="0" applyNumberFormat="1" applyFill="1" applyBorder="1" applyAlignment="1">
      <alignment horizontal="center" vertical="center"/>
    </xf>
    <xf numFmtId="164" fontId="0" fillId="10" borderId="54" xfId="0" applyNumberFormat="1" applyFill="1" applyBorder="1" applyAlignment="1">
      <alignment horizontal="center" vertical="center"/>
    </xf>
    <xf numFmtId="0" fontId="0" fillId="14" borderId="40" xfId="0" applyFill="1" applyBorder="1" applyAlignment="1">
      <alignment horizontal="center" vertical="center"/>
    </xf>
    <xf numFmtId="0" fontId="0" fillId="14" borderId="39" xfId="0" applyFill="1" applyBorder="1" applyAlignment="1">
      <alignment horizontal="left" vertical="center"/>
    </xf>
    <xf numFmtId="0" fontId="0" fillId="14" borderId="12" xfId="0" applyFill="1" applyBorder="1" applyAlignment="1">
      <alignment vertical="center"/>
    </xf>
    <xf numFmtId="0" fontId="1" fillId="14" borderId="39" xfId="0" applyFont="1" applyFill="1" applyBorder="1" applyAlignment="1">
      <alignment horizontal="center" vertical="center"/>
    </xf>
    <xf numFmtId="0" fontId="0" fillId="14" borderId="17" xfId="0" applyFill="1" applyBorder="1" applyAlignment="1">
      <alignment horizontal="center" vertical="center"/>
    </xf>
    <xf numFmtId="0" fontId="0" fillId="14" borderId="36" xfId="0" applyFill="1" applyBorder="1" applyAlignment="1">
      <alignment vertical="center"/>
    </xf>
    <xf numFmtId="0" fontId="0" fillId="14" borderId="44" xfId="0" applyFill="1" applyBorder="1" applyAlignment="1">
      <alignment vertical="center"/>
    </xf>
    <xf numFmtId="0" fontId="1" fillId="14" borderId="36" xfId="0" applyFont="1" applyFill="1" applyBorder="1" applyAlignment="1">
      <alignment horizontal="center" vertical="center"/>
    </xf>
    <xf numFmtId="0" fontId="1" fillId="6" borderId="0" xfId="0" applyFont="1" applyFill="1" applyAlignment="1">
      <alignment horizontal="center" vertical="center"/>
    </xf>
    <xf numFmtId="0" fontId="1" fillId="6" borderId="21" xfId="0" applyFont="1" applyFill="1" applyBorder="1" applyAlignment="1">
      <alignment horizontal="center" vertical="center"/>
    </xf>
    <xf numFmtId="0" fontId="1" fillId="6" borderId="42" xfId="0" applyFont="1" applyFill="1" applyBorder="1" applyAlignment="1">
      <alignment horizontal="center" vertical="center"/>
    </xf>
    <xf numFmtId="0" fontId="0" fillId="6" borderId="51" xfId="0" applyFill="1" applyBorder="1" applyAlignment="1">
      <alignment vertical="center"/>
    </xf>
    <xf numFmtId="0" fontId="0" fillId="6" borderId="51" xfId="0" applyFill="1" applyBorder="1" applyAlignment="1">
      <alignment horizontal="left" vertical="center"/>
    </xf>
    <xf numFmtId="0" fontId="0" fillId="6" borderId="55" xfId="0" applyFill="1" applyBorder="1" applyAlignment="1">
      <alignment horizontal="center" vertical="center"/>
    </xf>
    <xf numFmtId="0" fontId="5" fillId="0" borderId="0" xfId="0" applyFont="1" applyAlignment="1">
      <alignment horizontal="left"/>
    </xf>
    <xf numFmtId="0" fontId="22" fillId="14" borderId="28" xfId="0" applyFont="1" applyFill="1" applyBorder="1" applyAlignment="1">
      <alignment vertical="center"/>
    </xf>
    <xf numFmtId="0" fontId="23" fillId="14" borderId="37" xfId="0" applyFont="1" applyFill="1" applyBorder="1" applyAlignment="1">
      <alignment horizontal="left" vertical="center"/>
    </xf>
    <xf numFmtId="0" fontId="22" fillId="14" borderId="37" xfId="0" applyFont="1" applyFill="1" applyBorder="1" applyAlignment="1">
      <alignment vertical="center"/>
    </xf>
    <xf numFmtId="0" fontId="23" fillId="14" borderId="38" xfId="0" applyFont="1" applyFill="1" applyBorder="1" applyAlignment="1">
      <alignment horizontal="center" vertical="center"/>
    </xf>
    <xf numFmtId="0" fontId="1" fillId="6" borderId="37" xfId="0" applyFont="1" applyFill="1" applyBorder="1" applyAlignment="1">
      <alignment horizontal="center" vertical="center"/>
    </xf>
    <xf numFmtId="164" fontId="13" fillId="8" borderId="29" xfId="0" applyNumberFormat="1" applyFont="1" applyFill="1" applyBorder="1" applyAlignment="1">
      <alignment horizontal="center"/>
    </xf>
    <xf numFmtId="165" fontId="13" fillId="8" borderId="29" xfId="0" applyNumberFormat="1" applyFont="1" applyFill="1" applyBorder="1" applyAlignment="1">
      <alignment horizontal="center"/>
    </xf>
    <xf numFmtId="0" fontId="0" fillId="13" borderId="0" xfId="0" applyFill="1" applyAlignment="1">
      <alignment horizontal="center" vertical="center"/>
    </xf>
    <xf numFmtId="0" fontId="0" fillId="13" borderId="0" xfId="0" applyFill="1" applyAlignment="1">
      <alignment horizontal="left" vertical="center"/>
    </xf>
    <xf numFmtId="0" fontId="20" fillId="13" borderId="0" xfId="0" applyFont="1" applyFill="1" applyAlignment="1">
      <alignment vertical="center"/>
    </xf>
    <xf numFmtId="0" fontId="15" fillId="13" borderId="0" xfId="0" applyFont="1" applyFill="1" applyAlignment="1">
      <alignment horizontal="center" vertical="center"/>
    </xf>
    <xf numFmtId="164" fontId="17" fillId="13" borderId="0" xfId="0" applyNumberFormat="1" applyFont="1" applyFill="1" applyAlignment="1">
      <alignment horizontal="center" vertical="center"/>
    </xf>
    <xf numFmtId="0" fontId="13" fillId="13" borderId="0" xfId="0" applyFont="1" applyFill="1" applyAlignment="1">
      <alignment horizontal="left" vertical="center"/>
    </xf>
    <xf numFmtId="0" fontId="0" fillId="13" borderId="0" xfId="0" applyFill="1" applyAlignment="1">
      <alignment vertical="center"/>
    </xf>
    <xf numFmtId="0" fontId="0" fillId="13" borderId="0" xfId="0" quotePrefix="1" applyFill="1" applyAlignment="1">
      <alignment horizontal="left"/>
    </xf>
    <xf numFmtId="0" fontId="0" fillId="13" borderId="0" xfId="0" applyFill="1" applyAlignment="1">
      <alignment horizontal="left"/>
    </xf>
    <xf numFmtId="0" fontId="1" fillId="13" borderId="0" xfId="0" applyFont="1" applyFill="1" applyAlignment="1">
      <alignment horizontal="center" vertical="center"/>
    </xf>
    <xf numFmtId="0" fontId="0" fillId="13" borderId="0" xfId="0" applyFill="1" applyAlignment="1">
      <alignment horizontal="center"/>
    </xf>
    <xf numFmtId="0" fontId="0" fillId="13" borderId="0" xfId="0" quotePrefix="1" applyFill="1"/>
    <xf numFmtId="0" fontId="0" fillId="13" borderId="0" xfId="0" quotePrefix="1" applyFill="1" applyAlignment="1">
      <alignment wrapText="1"/>
    </xf>
    <xf numFmtId="0" fontId="2" fillId="13" borderId="26" xfId="0" applyFont="1" applyFill="1" applyBorder="1" applyAlignment="1">
      <alignment horizontal="left" vertical="center"/>
    </xf>
    <xf numFmtId="164" fontId="0" fillId="10" borderId="25" xfId="0" applyNumberFormat="1" applyFill="1" applyBorder="1" applyAlignment="1">
      <alignment horizontal="center" vertical="center"/>
    </xf>
    <xf numFmtId="164" fontId="17" fillId="12" borderId="27" xfId="0" applyNumberFormat="1" applyFont="1" applyFill="1" applyBorder="1" applyAlignment="1">
      <alignment horizontal="center" vertical="center"/>
    </xf>
    <xf numFmtId="0" fontId="0" fillId="13" borderId="38" xfId="0" applyFill="1" applyBorder="1" applyAlignment="1">
      <alignment vertical="center"/>
    </xf>
    <xf numFmtId="0" fontId="0" fillId="13" borderId="3" xfId="0" applyFill="1" applyBorder="1"/>
    <xf numFmtId="0" fontId="0" fillId="17" borderId="4" xfId="0" applyFill="1" applyBorder="1" applyAlignment="1">
      <alignment horizontal="left" vertical="center"/>
    </xf>
    <xf numFmtId="0" fontId="0" fillId="17" borderId="4" xfId="0" applyFill="1" applyBorder="1" applyAlignment="1">
      <alignment vertical="center"/>
    </xf>
    <xf numFmtId="0" fontId="1" fillId="17" borderId="4" xfId="0" applyFont="1" applyFill="1" applyBorder="1" applyAlignment="1">
      <alignment horizontal="center" vertical="center"/>
    </xf>
    <xf numFmtId="164" fontId="0" fillId="17" borderId="5" xfId="0" applyNumberFormat="1" applyFill="1" applyBorder="1" applyAlignment="1">
      <alignment horizontal="center" vertical="center"/>
    </xf>
    <xf numFmtId="0" fontId="20" fillId="17" borderId="3" xfId="0" applyFont="1" applyFill="1" applyBorder="1" applyAlignment="1">
      <alignment vertical="center"/>
    </xf>
    <xf numFmtId="0" fontId="0" fillId="5" borderId="15" xfId="0" applyFill="1" applyBorder="1" applyAlignment="1" applyProtection="1">
      <alignment horizontal="center" vertical="center"/>
      <protection locked="0"/>
    </xf>
    <xf numFmtId="0" fontId="0" fillId="5" borderId="22" xfId="0" applyFill="1" applyBorder="1" applyAlignment="1" applyProtection="1">
      <alignment horizontal="center" vertical="center"/>
      <protection locked="0"/>
    </xf>
    <xf numFmtId="0" fontId="0" fillId="5" borderId="25" xfId="0" applyFill="1" applyBorder="1" applyAlignment="1" applyProtection="1">
      <alignment horizontal="center" vertical="center"/>
      <protection locked="0"/>
    </xf>
    <xf numFmtId="0" fontId="0" fillId="5" borderId="27" xfId="0" applyFill="1" applyBorder="1" applyAlignment="1" applyProtection="1">
      <alignment horizontal="center" vertical="center"/>
      <protection locked="0"/>
    </xf>
    <xf numFmtId="0" fontId="13" fillId="5" borderId="29" xfId="0" applyFont="1" applyFill="1" applyBorder="1" applyAlignment="1" applyProtection="1">
      <alignment horizontal="center"/>
      <protection locked="0"/>
    </xf>
    <xf numFmtId="0" fontId="13" fillId="5" borderId="1" xfId="0" applyFont="1" applyFill="1" applyBorder="1" applyAlignment="1" applyProtection="1">
      <alignment horizontal="center"/>
      <protection locked="0"/>
    </xf>
    <xf numFmtId="0" fontId="13" fillId="5" borderId="58" xfId="0" applyFont="1" applyFill="1" applyBorder="1" applyAlignment="1" applyProtection="1">
      <alignment horizontal="center"/>
      <protection locked="0"/>
    </xf>
    <xf numFmtId="164" fontId="13" fillId="10" borderId="59" xfId="0" applyNumberFormat="1" applyFont="1" applyFill="1" applyBorder="1" applyAlignment="1">
      <alignment horizontal="center"/>
    </xf>
    <xf numFmtId="1" fontId="13" fillId="8" borderId="60" xfId="0" applyNumberFormat="1" applyFont="1" applyFill="1" applyBorder="1" applyAlignment="1">
      <alignment horizontal="center"/>
    </xf>
    <xf numFmtId="164" fontId="13" fillId="8" borderId="53" xfId="0" applyNumberFormat="1" applyFont="1" applyFill="1" applyBorder="1" applyAlignment="1">
      <alignment horizontal="center"/>
    </xf>
    <xf numFmtId="164" fontId="13" fillId="10" borderId="58" xfId="0" applyNumberFormat="1" applyFont="1" applyFill="1" applyBorder="1" applyAlignment="1">
      <alignment horizontal="center"/>
    </xf>
    <xf numFmtId="0" fontId="13" fillId="12" borderId="40" xfId="0" applyFont="1" applyFill="1" applyBorder="1" applyAlignment="1">
      <alignment horizontal="center"/>
    </xf>
    <xf numFmtId="0" fontId="3" fillId="13" borderId="0" xfId="0" applyFont="1" applyFill="1"/>
    <xf numFmtId="0" fontId="19" fillId="13" borderId="0" xfId="0" applyFont="1" applyFill="1"/>
    <xf numFmtId="0" fontId="19" fillId="13" borderId="0" xfId="0" applyFont="1" applyFill="1" applyAlignment="1">
      <alignment wrapText="1"/>
    </xf>
    <xf numFmtId="0" fontId="19" fillId="13" borderId="0" xfId="0" applyFont="1" applyFill="1" applyAlignment="1">
      <alignment horizontal="center" vertical="top" wrapText="1"/>
    </xf>
    <xf numFmtId="0" fontId="19" fillId="13" borderId="0" xfId="0" applyFont="1" applyFill="1" applyAlignment="1">
      <alignment horizontal="center" wrapText="1"/>
    </xf>
    <xf numFmtId="0" fontId="16" fillId="13" borderId="0" xfId="0" applyFont="1" applyFill="1" applyAlignment="1">
      <alignment vertical="center"/>
    </xf>
    <xf numFmtId="0" fontId="13" fillId="5" borderId="62" xfId="0" applyFont="1" applyFill="1" applyBorder="1" applyAlignment="1" applyProtection="1">
      <alignment horizontal="center"/>
      <protection locked="0"/>
    </xf>
    <xf numFmtId="0" fontId="13" fillId="5" borderId="63" xfId="0" applyFont="1" applyFill="1" applyBorder="1" applyAlignment="1" applyProtection="1">
      <alignment horizontal="center"/>
      <protection locked="0"/>
    </xf>
    <xf numFmtId="0" fontId="13" fillId="5" borderId="18" xfId="0" applyFont="1" applyFill="1" applyBorder="1" applyAlignment="1" applyProtection="1">
      <alignment horizontal="center"/>
      <protection locked="0"/>
    </xf>
    <xf numFmtId="1" fontId="13" fillId="8" borderId="17" xfId="0" applyNumberFormat="1" applyFont="1" applyFill="1" applyBorder="1" applyAlignment="1">
      <alignment horizontal="center"/>
    </xf>
    <xf numFmtId="165" fontId="13" fillId="8" borderId="63" xfId="0" applyNumberFormat="1" applyFont="1" applyFill="1" applyBorder="1" applyAlignment="1">
      <alignment horizontal="center"/>
    </xf>
    <xf numFmtId="164" fontId="13" fillId="8" borderId="63" xfId="0" applyNumberFormat="1" applyFont="1" applyFill="1" applyBorder="1" applyAlignment="1">
      <alignment horizontal="center"/>
    </xf>
    <xf numFmtId="164" fontId="13" fillId="8" borderId="19" xfId="0" applyNumberFormat="1" applyFont="1" applyFill="1" applyBorder="1" applyAlignment="1">
      <alignment horizontal="center"/>
    </xf>
    <xf numFmtId="164" fontId="13" fillId="10" borderId="43" xfId="0" applyNumberFormat="1" applyFont="1" applyFill="1" applyBorder="1" applyAlignment="1">
      <alignment horizontal="center"/>
    </xf>
    <xf numFmtId="164" fontId="13" fillId="10" borderId="63" xfId="0" applyNumberFormat="1" applyFont="1" applyFill="1" applyBorder="1" applyAlignment="1">
      <alignment horizontal="center"/>
    </xf>
    <xf numFmtId="164" fontId="13" fillId="10" borderId="18" xfId="0" applyNumberFormat="1" applyFont="1" applyFill="1" applyBorder="1" applyAlignment="1">
      <alignment horizontal="center"/>
    </xf>
    <xf numFmtId="0" fontId="13" fillId="12" borderId="61" xfId="0" applyFont="1" applyFill="1" applyBorder="1" applyAlignment="1">
      <alignment horizontal="center"/>
    </xf>
    <xf numFmtId="0" fontId="0" fillId="7" borderId="46" xfId="0" applyFill="1" applyBorder="1" applyAlignment="1">
      <alignment horizontal="center" vertical="center"/>
    </xf>
    <xf numFmtId="0" fontId="0" fillId="7" borderId="0" xfId="0" applyFill="1" applyAlignment="1">
      <alignment horizontal="left" vertical="center"/>
    </xf>
    <xf numFmtId="0" fontId="0" fillId="7" borderId="0" xfId="0" applyFill="1" applyAlignment="1">
      <alignment vertical="center"/>
    </xf>
    <xf numFmtId="0" fontId="0" fillId="7" borderId="55" xfId="0" applyFill="1" applyBorder="1" applyAlignment="1">
      <alignment horizontal="center" vertical="center"/>
    </xf>
    <xf numFmtId="0" fontId="0" fillId="9" borderId="46" xfId="0" applyFill="1" applyBorder="1" applyAlignment="1">
      <alignment horizontal="center" vertical="center"/>
    </xf>
    <xf numFmtId="0" fontId="0" fillId="9" borderId="0" xfId="0" applyFill="1" applyAlignment="1">
      <alignment horizontal="left" vertical="center"/>
    </xf>
    <xf numFmtId="0" fontId="0" fillId="9" borderId="0" xfId="0" applyFill="1" applyAlignment="1">
      <alignment vertical="center"/>
    </xf>
    <xf numFmtId="0" fontId="0" fillId="9" borderId="40" xfId="0" applyFill="1" applyBorder="1" applyAlignment="1">
      <alignment horizontal="center" vertical="center"/>
    </xf>
    <xf numFmtId="0" fontId="0" fillId="9" borderId="17" xfId="0" applyFill="1" applyBorder="1" applyAlignment="1">
      <alignment horizontal="center" vertical="center"/>
    </xf>
    <xf numFmtId="0" fontId="0" fillId="9" borderId="61" xfId="0" applyFill="1" applyBorder="1" applyAlignment="1">
      <alignment horizontal="center" vertical="center"/>
    </xf>
    <xf numFmtId="0" fontId="16" fillId="13" borderId="3" xfId="0" applyFont="1" applyFill="1" applyBorder="1" applyAlignment="1">
      <alignment horizontal="left" vertical="center"/>
    </xf>
    <xf numFmtId="0" fontId="0" fillId="13" borderId="4" xfId="0" applyFill="1" applyBorder="1" applyAlignment="1">
      <alignment horizontal="left"/>
    </xf>
    <xf numFmtId="0" fontId="1" fillId="13" borderId="4" xfId="0" applyFont="1" applyFill="1" applyBorder="1" applyAlignment="1">
      <alignment horizontal="center" vertical="center"/>
    </xf>
    <xf numFmtId="0" fontId="0" fillId="13" borderId="5" xfId="0" applyFill="1" applyBorder="1" applyAlignment="1">
      <alignment horizontal="center"/>
    </xf>
    <xf numFmtId="0" fontId="0" fillId="11" borderId="32" xfId="0" applyFill="1" applyBorder="1" applyAlignment="1">
      <alignment horizontal="center" vertical="center"/>
    </xf>
    <xf numFmtId="0" fontId="22" fillId="14" borderId="5" xfId="0" applyFont="1" applyFill="1" applyBorder="1" applyAlignment="1">
      <alignment horizontal="center" vertical="center"/>
    </xf>
    <xf numFmtId="164" fontId="13" fillId="12" borderId="58" xfId="0" applyNumberFormat="1" applyFont="1" applyFill="1" applyBorder="1" applyAlignment="1">
      <alignment horizontal="center"/>
    </xf>
    <xf numFmtId="164" fontId="13" fillId="12" borderId="18" xfId="0" applyNumberFormat="1" applyFont="1" applyFill="1" applyBorder="1" applyAlignment="1">
      <alignment horizontal="center"/>
    </xf>
    <xf numFmtId="0" fontId="21" fillId="4" borderId="44" xfId="0" applyFont="1" applyFill="1" applyBorder="1" applyAlignment="1">
      <alignment horizontal="left" vertical="center"/>
    </xf>
    <xf numFmtId="0" fontId="21" fillId="4" borderId="31" xfId="0" applyFont="1" applyFill="1" applyBorder="1" applyAlignment="1">
      <alignment horizontal="left" vertical="center"/>
    </xf>
    <xf numFmtId="0" fontId="21" fillId="6" borderId="31" xfId="0" applyFont="1" applyFill="1" applyBorder="1" applyAlignment="1">
      <alignment horizontal="center" vertical="center"/>
    </xf>
    <xf numFmtId="0" fontId="21" fillId="6" borderId="36" xfId="0" applyFont="1" applyFill="1" applyBorder="1" applyAlignment="1">
      <alignment horizontal="center" vertical="center"/>
    </xf>
    <xf numFmtId="0" fontId="21" fillId="7" borderId="30" xfId="0" applyFont="1" applyFill="1" applyBorder="1" applyAlignment="1">
      <alignment horizontal="center" vertical="center"/>
    </xf>
    <xf numFmtId="0" fontId="21" fillId="7" borderId="31" xfId="0" applyFont="1" applyFill="1" applyBorder="1" applyAlignment="1">
      <alignment horizontal="center" vertical="center"/>
    </xf>
    <xf numFmtId="0" fontId="21" fillId="7" borderId="32" xfId="0" applyFont="1" applyFill="1" applyBorder="1" applyAlignment="1">
      <alignment horizontal="center" vertical="center"/>
    </xf>
    <xf numFmtId="0" fontId="21" fillId="9" borderId="44" xfId="0" applyFont="1" applyFill="1" applyBorder="1" applyAlignment="1">
      <alignment horizontal="center" vertical="center"/>
    </xf>
    <xf numFmtId="0" fontId="21" fillId="9" borderId="31" xfId="0" applyFont="1" applyFill="1" applyBorder="1" applyAlignment="1">
      <alignment horizontal="center" vertical="center"/>
    </xf>
    <xf numFmtId="0" fontId="21" fillId="9" borderId="36" xfId="0" applyFont="1" applyFill="1" applyBorder="1" applyAlignment="1">
      <alignment horizontal="center" vertical="center"/>
    </xf>
    <xf numFmtId="0" fontId="21" fillId="11" borderId="3" xfId="0" applyFont="1" applyFill="1" applyBorder="1" applyAlignment="1">
      <alignment horizontal="center" vertical="center"/>
    </xf>
    <xf numFmtId="0" fontId="21" fillId="11" borderId="35" xfId="0" applyFont="1" applyFill="1" applyBorder="1" applyAlignment="1">
      <alignment horizontal="center" vertical="center"/>
    </xf>
    <xf numFmtId="0" fontId="13" fillId="13" borderId="29" xfId="0" applyFont="1" applyFill="1" applyBorder="1" applyAlignment="1" applyProtection="1">
      <alignment horizontal="center"/>
      <protection locked="0"/>
    </xf>
    <xf numFmtId="0" fontId="13" fillId="13" borderId="1" xfId="0" applyFont="1" applyFill="1" applyBorder="1" applyAlignment="1" applyProtection="1">
      <alignment horizontal="center"/>
      <protection locked="0"/>
    </xf>
    <xf numFmtId="0" fontId="13" fillId="13" borderId="1" xfId="0" applyFont="1" applyFill="1" applyBorder="1" applyProtection="1">
      <protection locked="0"/>
    </xf>
    <xf numFmtId="0" fontId="13" fillId="13" borderId="62" xfId="0" applyFont="1" applyFill="1" applyBorder="1" applyProtection="1">
      <protection locked="0"/>
    </xf>
    <xf numFmtId="0" fontId="13" fillId="2" borderId="59" xfId="0" applyFont="1" applyFill="1" applyBorder="1" applyAlignment="1" applyProtection="1">
      <alignment horizontal="center"/>
      <protection locked="0"/>
    </xf>
    <xf numFmtId="0" fontId="13" fillId="2" borderId="12" xfId="0" applyFont="1" applyFill="1" applyBorder="1" applyAlignment="1" applyProtection="1">
      <alignment horizontal="center"/>
      <protection locked="0"/>
    </xf>
    <xf numFmtId="0" fontId="13" fillId="2" borderId="56" xfId="0" applyFont="1" applyFill="1" applyBorder="1" applyAlignment="1" applyProtection="1">
      <alignment horizontal="center"/>
      <protection locked="0"/>
    </xf>
    <xf numFmtId="0" fontId="0" fillId="13" borderId="0" xfId="0" applyFill="1" applyProtection="1">
      <protection locked="0"/>
    </xf>
    <xf numFmtId="0" fontId="0" fillId="13" borderId="0" xfId="0" quotePrefix="1" applyFill="1" applyProtection="1">
      <protection locked="0"/>
    </xf>
    <xf numFmtId="0" fontId="19" fillId="13" borderId="0" xfId="0" applyFont="1" applyFill="1" applyProtection="1">
      <protection locked="0"/>
    </xf>
    <xf numFmtId="0" fontId="19" fillId="13" borderId="0" xfId="0" applyFont="1" applyFill="1" applyAlignment="1" applyProtection="1">
      <alignment wrapText="1"/>
      <protection locked="0"/>
    </xf>
    <xf numFmtId="0" fontId="3" fillId="13" borderId="41" xfId="0" applyFont="1" applyFill="1" applyBorder="1" applyAlignment="1">
      <alignment horizontal="left" vertical="center" wrapText="1"/>
    </xf>
    <xf numFmtId="0" fontId="21" fillId="11" borderId="3" xfId="0" applyFont="1" applyFill="1" applyBorder="1" applyAlignment="1">
      <alignment vertical="center" wrapText="1"/>
    </xf>
    <xf numFmtId="0" fontId="21" fillId="11" borderId="4" xfId="0" applyFont="1" applyFill="1" applyBorder="1" applyAlignment="1">
      <alignment vertical="center" wrapText="1"/>
    </xf>
    <xf numFmtId="0" fontId="21" fillId="11" borderId="57" xfId="0" applyFont="1" applyFill="1" applyBorder="1" applyAlignment="1">
      <alignment vertical="center" wrapText="1"/>
    </xf>
    <xf numFmtId="0" fontId="1" fillId="6" borderId="64" xfId="0" applyFont="1" applyFill="1" applyBorder="1" applyAlignment="1">
      <alignment horizontal="center" vertical="center"/>
    </xf>
    <xf numFmtId="0" fontId="1" fillId="6" borderId="47" xfId="0" applyFont="1" applyFill="1" applyBorder="1" applyAlignment="1">
      <alignment horizontal="center" vertical="center"/>
    </xf>
    <xf numFmtId="0" fontId="1" fillId="9" borderId="48" xfId="0" applyFont="1" applyFill="1" applyBorder="1" applyAlignment="1">
      <alignment horizontal="center" vertical="center"/>
    </xf>
    <xf numFmtId="0" fontId="1" fillId="9" borderId="64" xfId="0" applyFont="1" applyFill="1" applyBorder="1" applyAlignment="1">
      <alignment horizontal="center" vertical="center"/>
    </xf>
    <xf numFmtId="0" fontId="1" fillId="9" borderId="47" xfId="0" applyFont="1" applyFill="1" applyBorder="1" applyAlignment="1">
      <alignment horizontal="center" vertical="center"/>
    </xf>
    <xf numFmtId="0" fontId="1" fillId="9" borderId="49" xfId="0" applyFont="1" applyFill="1" applyBorder="1" applyAlignment="1">
      <alignment horizontal="center" vertical="center"/>
    </xf>
    <xf numFmtId="0" fontId="1" fillId="4" borderId="46" xfId="0" applyFont="1" applyFill="1" applyBorder="1" applyAlignment="1">
      <alignment horizontal="left" vertical="center"/>
    </xf>
    <xf numFmtId="0" fontId="1" fillId="4" borderId="64" xfId="0" applyFont="1" applyFill="1" applyBorder="1" applyAlignment="1">
      <alignment horizontal="left" vertical="center"/>
    </xf>
    <xf numFmtId="0" fontId="1" fillId="7" borderId="20" xfId="0" applyFont="1" applyFill="1" applyBorder="1" applyAlignment="1">
      <alignment horizontal="center" vertical="center"/>
    </xf>
    <xf numFmtId="0" fontId="1" fillId="7" borderId="21" xfId="0" applyFont="1" applyFill="1" applyBorder="1" applyAlignment="1">
      <alignment horizontal="center" vertical="center"/>
    </xf>
    <xf numFmtId="0" fontId="1" fillId="7" borderId="23" xfId="0" applyFont="1" applyFill="1" applyBorder="1" applyAlignment="1">
      <alignment horizontal="center" vertic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1" xfId="0" applyBorder="1" applyAlignment="1">
      <alignment horizontal="center"/>
    </xf>
  </cellXfs>
  <cellStyles count="1">
    <cellStyle name="Normal" xfId="0" builtinId="0"/>
  </cellStyles>
  <dxfs count="37">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7" tint="0.79998168889431442"/>
        </patternFill>
      </fill>
      <alignment horizontal="center" vertical="bottom" textRotation="0" wrapText="0" indent="0" justifyLastLine="0" shrinkToFit="0" readingOrder="0"/>
      <border diagonalUp="0" diagonalDown="0">
        <left style="thin">
          <color indexed="64"/>
        </left>
        <right/>
        <top/>
        <bottom style="thin">
          <color indexed="64"/>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theme="7" tint="0.79998168889431442"/>
        </patternFill>
      </fill>
      <alignment horizontal="center" vertical="bottom" textRotation="0" wrapText="0" indent="0" justifyLastLine="0" shrinkToFit="0" readingOrder="0"/>
      <border diagonalUp="0" diagonalDown="0">
        <left style="medium">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9" tint="0.79998168889431442"/>
        </patternFill>
      </fill>
      <alignment horizontal="center" vertical="bottom" textRotation="0" wrapText="0" indent="0" justifyLastLine="0" shrinkToFit="0" readingOrder="0"/>
      <border diagonalUp="0" diagonalDown="0">
        <left style="thin">
          <color indexed="64"/>
        </left>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9"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9"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9" tint="0.79998168889431442"/>
        </patternFill>
      </fill>
      <alignment horizontal="center" vertical="bottom" textRotation="0" wrapText="0" indent="0" justifyLastLine="0" shrinkToFit="0" readingOrder="0"/>
      <border diagonalUp="0" diagonalDown="0">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5" tint="0.79998168889431442"/>
        </patternFill>
      </fill>
      <alignment horizontal="center" vertical="bottom" textRotation="0" wrapText="0" indent="0" justifyLastLine="0" shrinkToFit="0" readingOrder="0"/>
      <border diagonalUp="0" diagonalDown="0">
        <left style="thin">
          <color indexed="64"/>
        </left>
        <right style="medium">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theme="5"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65" formatCode="0.000"/>
      <fill>
        <patternFill patternType="solid">
          <fgColor indexed="64"/>
          <bgColor theme="5"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numFmt numFmtId="1" formatCode="0"/>
      <fill>
        <patternFill patternType="solid">
          <fgColor indexed="64"/>
          <bgColor theme="5" tint="0.79998168889431442"/>
        </patternFill>
      </fill>
      <alignment horizontal="center" vertical="bottom" textRotation="0" wrapText="0" indent="0" justifyLastLine="0" shrinkToFit="0" readingOrder="0"/>
      <border diagonalUp="0" diagonalDown="0">
        <left style="medium">
          <color indexed="64"/>
        </left>
        <right style="thin">
          <color indexed="64"/>
        </right>
        <top/>
        <bottom style="thin">
          <color indexed="64"/>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4" tint="0.7999816888943144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0"/>
        </patternFill>
      </fill>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theme="1"/>
        <name val="Calibri"/>
        <family val="2"/>
        <scheme val="minor"/>
      </font>
      <fill>
        <patternFill patternType="solid">
          <fgColor indexed="64"/>
          <bgColor theme="0" tint="-4.9989318521683403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left style="medium">
          <color indexed="64"/>
        </left>
        <right style="medium">
          <color indexed="64"/>
        </right>
        <top style="medium">
          <color indexed="64"/>
        </top>
        <bottom style="thin">
          <color indexed="64"/>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tint="0.39997558519241921"/>
        </patternFill>
      </fill>
      <alignment horizontal="center" vertical="center" textRotation="0" wrapText="0" indent="0" justifyLastLine="0" shrinkToFit="0" readingOrder="0"/>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
      <font>
        <color theme="2" tint="-0.499984740745262"/>
      </font>
      <fill>
        <patternFill>
          <bgColor theme="2" tint="-0.24994659260841701"/>
        </patternFill>
      </fill>
    </dxf>
  </dxfs>
  <tableStyles count="0" defaultTableStyle="TableStyleMedium2" defaultPivotStyle="PivotStyleLight16"/>
  <colors>
    <mruColors>
      <color rgb="FF11FF2D"/>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13</xdr:col>
      <xdr:colOff>24765</xdr:colOff>
      <xdr:row>1</xdr:row>
      <xdr:rowOff>7620</xdr:rowOff>
    </xdr:from>
    <xdr:to>
      <xdr:col>18</xdr:col>
      <xdr:colOff>87313</xdr:colOff>
      <xdr:row>6</xdr:row>
      <xdr:rowOff>103188</xdr:rowOff>
    </xdr:to>
    <xdr:pic>
      <xdr:nvPicPr>
        <xdr:cNvPr id="3" name="Picture 2" descr="Diagram, text&#10;&#10;Description automatically generated with medium confidence">
          <a:extLst>
            <a:ext uri="{FF2B5EF4-FFF2-40B4-BE49-F238E27FC236}">
              <a16:creationId xmlns:a16="http://schemas.microsoft.com/office/drawing/2014/main" id="{BDBAE9DD-82AB-4BEB-80E7-C5257A0BDB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991725" y="190500"/>
          <a:ext cx="3066733" cy="1061403"/>
        </a:xfrm>
        <a:prstGeom prst="rect">
          <a:avLst/>
        </a:prstGeom>
        <a:solidFill>
          <a:srgbClr val="FFFFFF">
            <a:shade val="85000"/>
          </a:srgbClr>
        </a:solidFill>
        <a:ln w="3175" cap="sq">
          <a:solidFill>
            <a:srgbClr val="53565A"/>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8</xdr:col>
      <xdr:colOff>0</xdr:colOff>
      <xdr:row>0</xdr:row>
      <xdr:rowOff>1</xdr:rowOff>
    </xdr:from>
    <xdr:to>
      <xdr:col>28</xdr:col>
      <xdr:colOff>245070</xdr:colOff>
      <xdr:row>24</xdr:row>
      <xdr:rowOff>136878</xdr:rowOff>
    </xdr:to>
    <xdr:pic>
      <xdr:nvPicPr>
        <xdr:cNvPr id="3" name="Picture 2">
          <a:extLst>
            <a:ext uri="{FF2B5EF4-FFF2-40B4-BE49-F238E27FC236}">
              <a16:creationId xmlns:a16="http://schemas.microsoft.com/office/drawing/2014/main" id="{5AEC7676-9BD6-4E9E-A63D-B29FE6AA2001}"/>
            </a:ext>
          </a:extLst>
        </xdr:cNvPr>
        <xdr:cNvPicPr>
          <a:picLocks noChangeAspect="1"/>
        </xdr:cNvPicPr>
      </xdr:nvPicPr>
      <xdr:blipFill>
        <a:blip xmlns:r="http://schemas.openxmlformats.org/officeDocument/2006/relationships" r:embed="rId1"/>
        <a:stretch>
          <a:fillRect/>
        </a:stretch>
      </xdr:blipFill>
      <xdr:spPr>
        <a:xfrm>
          <a:off x="11982450" y="1"/>
          <a:ext cx="12433260" cy="7292057"/>
        </a:xfrm>
        <a:prstGeom prst="rect">
          <a:avLst/>
        </a:prstGeom>
      </xdr:spPr>
    </xdr:pic>
    <xdr:clientData fPrintsWithSheet="0"/>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B025858-24AC-4729-BB86-96B4D620FDB1}" name="Table1" displayName="Table1" ref="A3:Y23" totalsRowShown="0" headerRowDxfId="27" headerRowBorderDxfId="26" tableBorderDxfId="25">
  <autoFilter ref="A3:Y23" xr:uid="{BB025858-24AC-4729-BB86-96B4D620FDB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autoFilter>
  <tableColumns count="25">
    <tableColumn id="1" xr3:uid="{9E2B8E6D-184F-4C30-99FC-25E37F6369FE}" name="No." dataDxfId="24"/>
    <tableColumn id="2" xr3:uid="{50CFF9B9-BB7C-410E-BF66-0B35BD734A2B}" name="Barrier Identity" dataDxfId="23"/>
    <tableColumn id="3" xr3:uid="{11645B03-97C1-4F11-87C5-1C71E050312F}" name="Carriageway" dataDxfId="22"/>
    <tableColumn id="4" xr3:uid="{3D8315F3-BD4F-4820-B41F-EC2B73623442}" name="Speed" dataDxfId="21"/>
    <tableColumn id="5" xr3:uid="{09884F75-1F48-44CF-8395-FD9D14F995A0}" name="AADT" dataDxfId="20"/>
    <tableColumn id="6" xr3:uid="{AE52A638-7879-4E9D-8ADC-33F2758EC550}" name="Perp. Haz'd" dataDxfId="19"/>
    <tableColumn id="7" xr3:uid="{C3A75FE1-B3C1-4068-B10C-D59C0B60CE31}" name="Flared" dataDxfId="18"/>
    <tableColumn id="8" xr3:uid="{870DEA2B-C22F-4ECE-87E6-FDE0C8A7FADB}" name="LA" dataDxfId="17"/>
    <tableColumn id="9" xr3:uid="{C99A90B6-7CCE-47B0-B007-3D85BD5E7194}" name="L2" dataDxfId="16"/>
    <tableColumn id="10" xr3:uid="{A44F4EC6-E911-4875-BE72-FD9948496EA1}" name="LA (opp.)" dataDxfId="15"/>
    <tableColumn id="11" xr3:uid="{22FABAB5-326D-4D63-B415-9BB6963A8CDC}" name="L2 (opp.)" dataDxfId="14"/>
    <tableColumn id="12" xr3:uid="{14CCB427-B572-47BF-B85B-B73CC58DCA64}" name="L3" dataDxfId="13"/>
    <tableColumn id="13" xr3:uid="{83FCA513-0EAB-4F80-AB42-18F8C0D3EC5D}" name="W" dataDxfId="12"/>
    <tableColumn id="14" xr3:uid="{1773BEB6-EA92-4B1D-9B58-683F84E85F25}" name="F (lead)" dataDxfId="11"/>
    <tableColumn id="15" xr3:uid="{9C3131C8-4E5C-4165-B306-8B8AAE706D8A}" name="F (trail)" dataDxfId="10"/>
    <tableColumn id="16" xr3:uid="{592D9371-0558-4AD8-A8E3-E4C64C9FE904}" name="LR" dataDxfId="9">
      <calculatedColumnFormula>IF(
OR($C4="",$D4="",$E4=""),"",
INDEX('Lr for AADT'!$B$3:$E$9,MATCH($D4,'Lr for AADT'!$A$3:$A$9,0),MATCH($E4,'Lr for AADT'!$B$2:$E$2,0))
)</calculatedColumnFormula>
    </tableColumn>
    <tableColumn id="17" xr3:uid="{3DCEB35B-E8EC-4C22-A837-4DC2BBC72569}" name="aL" dataDxfId="8">
      <calculatedColumnFormula array="1">_xlfn.IFS(
$F4="Yes","0",
OR($H4="",$P4=""),"",
$F4="No",($H4/$P4)
)</calculatedColumnFormula>
    </tableColumn>
    <tableColumn id="18" xr3:uid="{4F96A38C-B03B-474C-97DE-B541244B375A}" name="X1'" dataDxfId="7">
      <calculatedColumnFormula array="1">_xlfn.IFS(
$F4="Yes",2*$P4,
OR($F4="",$H4="",$I4="",$P4=""),"",
$F4="No",8*($H4-($I4+$N4))
)</calculatedColumnFormula>
    </tableColumn>
    <tableColumn id="19" xr3:uid="{A630E12A-C620-4353-964D-14538D944969}" name="X2'" dataDxfId="6">
      <calculatedColumnFormula array="1">_xlfn.IFS(
$C4="One-way","0",
$C4="Two-way",8*($J4-($K4+$O4)),
OR($J4="",$P4=""),""
)</calculatedColumnFormula>
    </tableColumn>
    <tableColumn id="20" xr3:uid="{C33C6B0C-0EAD-47C5-966B-D2F0210B2F28}" name="X1" dataDxfId="5">
      <calculatedColumnFormula array="1">_xlfn.IFS(
$F4="Yes",2*$P4,
OR($F4="",$H4="",$I4="",$P4=""),"",
$F4="No",MAX(($P4/$H4)*($H4-($I4+$N4)),8*($H4-($I4+$N4)))
)</calculatedColumnFormula>
    </tableColumn>
    <tableColumn id="21" xr3:uid="{5026AD56-9E2A-4688-B05F-514BE2DE21EC}" name="W2" dataDxfId="4">
      <calculatedColumnFormula>IF($M4="","",$M4)</calculatedColumnFormula>
    </tableColumn>
    <tableColumn id="22" xr3:uid="{01B72F4E-0E98-43AB-A02E-1317CDBC694A}" name="Z" dataDxfId="3">
      <calculatedColumnFormula array="1">_xlfn.IFS(
$C4="Two-way","0",
$C4="One-way",4*($L4-$I4),
OR($C4="",$I4="",$L4=""),""
)</calculatedColumnFormula>
    </tableColumn>
    <tableColumn id="23" xr3:uid="{DA4F34CA-80A9-429A-8035-A0FF8AA43893}" name="X2" dataDxfId="2">
      <calculatedColumnFormula array="1">_xlfn.IFS(
$C4="One-Way","0",
$F4="Yes",2*$P4,
OR($C4="",$J4="",$K4="",$P4=""),"",
$F4="No",MAX(($P4/$J4)*($J4-($K4+$O4)),8*($J4-($K4+$O4)))
)</calculatedColumnFormula>
    </tableColumn>
    <tableColumn id="24" xr3:uid="{D731A043-6C27-45B0-B0E7-9B9D302B2F39}" name="LoN Calc" dataDxfId="1">
      <calculatedColumnFormula>IF(
OR($C4="",$F4=""),"",
INDEX('Lr for AADT'!$B$15:$C$16,MATCH(C4,'Lr for AADT'!$A$15:$A$16,0),MATCH(F4,'Lr for AADT'!$B$14:$C$14,0))
)</calculatedColumnFormula>
    </tableColumn>
    <tableColumn id="25" xr3:uid="{FC38A233-102F-48F5-BFD7-3F9C58750204}" name="LoN" dataDxfId="0">
      <calculatedColumnFormula>IF(OR($P4="",$T4="",$U4="",$V4="",$W4=""),"",(T4+U4-V4+W4))</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58A8D-D64E-47BD-BB63-97B59E4836D0}">
  <dimension ref="B2:C34"/>
  <sheetViews>
    <sheetView workbookViewId="0">
      <selection activeCell="C7" sqref="C7"/>
    </sheetView>
  </sheetViews>
  <sheetFormatPr defaultColWidth="8.7109375" defaultRowHeight="15" x14ac:dyDescent="0.25"/>
  <cols>
    <col min="1" max="1" width="8.7109375" style="21"/>
    <col min="2" max="2" width="15.85546875" style="21" customWidth="1"/>
    <col min="3" max="3" width="32.85546875" style="21" customWidth="1"/>
    <col min="4" max="16384" width="8.7109375" style="21"/>
  </cols>
  <sheetData>
    <row r="2" spans="2:3" ht="18.75" x14ac:dyDescent="0.3">
      <c r="B2" s="20" t="s">
        <v>0</v>
      </c>
    </row>
    <row r="4" spans="2:3" x14ac:dyDescent="0.25">
      <c r="B4" s="22" t="s">
        <v>1</v>
      </c>
    </row>
    <row r="5" spans="2:3" x14ac:dyDescent="0.25">
      <c r="B5" s="23" t="s">
        <v>2</v>
      </c>
    </row>
    <row r="6" spans="2:3" x14ac:dyDescent="0.25">
      <c r="B6" s="23" t="s">
        <v>3</v>
      </c>
      <c r="C6" s="24"/>
    </row>
    <row r="7" spans="2:3" x14ac:dyDescent="0.25">
      <c r="B7" s="23" t="s">
        <v>4</v>
      </c>
      <c r="C7" s="24"/>
    </row>
    <row r="8" spans="2:3" x14ac:dyDescent="0.25">
      <c r="B8" s="25" t="s">
        <v>5</v>
      </c>
    </row>
    <row r="9" spans="2:3" x14ac:dyDescent="0.25">
      <c r="B9" s="25" t="s">
        <v>6</v>
      </c>
    </row>
    <row r="11" spans="2:3" x14ac:dyDescent="0.25">
      <c r="B11" s="23" t="s">
        <v>7</v>
      </c>
    </row>
    <row r="12" spans="2:3" x14ac:dyDescent="0.25">
      <c r="B12" s="25" t="s">
        <v>8</v>
      </c>
    </row>
    <row r="13" spans="2:3" x14ac:dyDescent="0.25">
      <c r="B13" s="25" t="s">
        <v>9</v>
      </c>
    </row>
    <row r="14" spans="2:3" x14ac:dyDescent="0.25">
      <c r="B14" s="25" t="s">
        <v>10</v>
      </c>
    </row>
    <row r="15" spans="2:3" x14ac:dyDescent="0.25">
      <c r="B15" s="25" t="s">
        <v>11</v>
      </c>
    </row>
    <row r="16" spans="2:3" x14ac:dyDescent="0.25">
      <c r="B16" s="25"/>
    </row>
    <row r="17" spans="2:2" x14ac:dyDescent="0.25">
      <c r="B17" s="23" t="s">
        <v>12</v>
      </c>
    </row>
    <row r="18" spans="2:2" x14ac:dyDescent="0.25">
      <c r="B18" s="25" t="s">
        <v>13</v>
      </c>
    </row>
    <row r="19" spans="2:2" x14ac:dyDescent="0.25">
      <c r="B19" s="25" t="s">
        <v>14</v>
      </c>
    </row>
    <row r="20" spans="2:2" x14ac:dyDescent="0.25">
      <c r="B20" s="26"/>
    </row>
    <row r="21" spans="2:2" x14ac:dyDescent="0.25">
      <c r="B21" s="23" t="s">
        <v>15</v>
      </c>
    </row>
    <row r="22" spans="2:2" x14ac:dyDescent="0.25">
      <c r="B22" s="25" t="s">
        <v>16</v>
      </c>
    </row>
    <row r="23" spans="2:2" x14ac:dyDescent="0.25">
      <c r="B23" s="27"/>
    </row>
    <row r="24" spans="2:2" x14ac:dyDescent="0.25">
      <c r="B24" s="28" t="s">
        <v>17</v>
      </c>
    </row>
    <row r="25" spans="2:2" x14ac:dyDescent="0.25">
      <c r="B25" s="27" t="s">
        <v>18</v>
      </c>
    </row>
    <row r="26" spans="2:2" x14ac:dyDescent="0.25">
      <c r="B26" s="27" t="s">
        <v>19</v>
      </c>
    </row>
    <row r="27" spans="2:2" x14ac:dyDescent="0.25">
      <c r="B27" s="27" t="s">
        <v>20</v>
      </c>
    </row>
    <row r="28" spans="2:2" x14ac:dyDescent="0.25">
      <c r="B28" s="27" t="s">
        <v>21</v>
      </c>
    </row>
    <row r="29" spans="2:2" x14ac:dyDescent="0.25">
      <c r="B29" s="27" t="s">
        <v>22</v>
      </c>
    </row>
    <row r="30" spans="2:2" x14ac:dyDescent="0.25">
      <c r="B30" s="27" t="s">
        <v>23</v>
      </c>
    </row>
    <row r="31" spans="2:2" x14ac:dyDescent="0.25">
      <c r="B31" s="27" t="s">
        <v>24</v>
      </c>
    </row>
    <row r="32" spans="2:2" x14ac:dyDescent="0.25">
      <c r="B32" s="27" t="s">
        <v>25</v>
      </c>
    </row>
    <row r="33" spans="2:2" x14ac:dyDescent="0.25">
      <c r="B33" s="27" t="s">
        <v>26</v>
      </c>
    </row>
    <row r="34" spans="2:2" x14ac:dyDescent="0.25">
      <c r="B34" s="27" t="s">
        <v>27</v>
      </c>
    </row>
  </sheetData>
  <sheetProtection sheet="1" objects="1" scenario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4B88B-C62E-4047-BAE6-84578840536B}">
  <sheetPr>
    <pageSetUpPr fitToPage="1"/>
  </sheetPr>
  <dimension ref="A1:G41"/>
  <sheetViews>
    <sheetView tabSelected="1" topLeftCell="A8" zoomScale="90" zoomScaleNormal="90" workbookViewId="0">
      <selection activeCell="E7" sqref="E7"/>
    </sheetView>
  </sheetViews>
  <sheetFormatPr defaultColWidth="8.85546875" defaultRowHeight="15" x14ac:dyDescent="0.25"/>
  <cols>
    <col min="1" max="1" width="5.7109375" style="132" customWidth="1"/>
    <col min="2" max="2" width="0.42578125" style="130" customWidth="1"/>
    <col min="3" max="3" width="55.7109375" style="52" customWidth="1"/>
    <col min="4" max="4" width="16.7109375" style="131" customWidth="1"/>
    <col min="5" max="5" width="19.7109375" style="132" customWidth="1"/>
    <col min="6" max="6" width="0.5703125" style="52" customWidth="1"/>
    <col min="7" max="7" width="66.7109375" style="130" customWidth="1"/>
    <col min="8" max="8" width="3.28515625" style="52" customWidth="1"/>
    <col min="9" max="16384" width="8.85546875" style="52"/>
  </cols>
  <sheetData>
    <row r="1" spans="1:7" ht="24.6" customHeight="1" thickBot="1" x14ac:dyDescent="0.3">
      <c r="A1" s="184" t="str">
        <f>CONCATENATE(" Project Name:"," ",Instructions!C6)</f>
        <v xml:space="preserve"> Project Name: </v>
      </c>
      <c r="B1" s="185"/>
      <c r="C1" s="51"/>
      <c r="D1" s="186"/>
      <c r="E1" s="187"/>
    </row>
    <row r="2" spans="1:7" ht="25.15" customHeight="1" thickBot="1" x14ac:dyDescent="0.3">
      <c r="A2" s="83" t="s">
        <v>28</v>
      </c>
      <c r="B2" s="86"/>
      <c r="C2" s="87"/>
      <c r="D2" s="189"/>
      <c r="E2" s="89" t="s">
        <v>29</v>
      </c>
      <c r="F2" s="84"/>
      <c r="G2" s="85" t="s">
        <v>30</v>
      </c>
    </row>
    <row r="3" spans="1:7" s="128" customFormat="1" ht="25.15" customHeight="1" x14ac:dyDescent="0.25">
      <c r="A3" s="55" t="s">
        <v>31</v>
      </c>
      <c r="B3" s="56"/>
      <c r="C3" s="32" t="s">
        <v>32</v>
      </c>
      <c r="D3" s="109"/>
      <c r="E3" s="146"/>
      <c r="F3" s="45"/>
      <c r="G3" s="46" t="s">
        <v>33</v>
      </c>
    </row>
    <row r="4" spans="1:7" s="128" customFormat="1" ht="25.15" customHeight="1" x14ac:dyDescent="0.25">
      <c r="A4" s="42" t="s">
        <v>34</v>
      </c>
      <c r="B4" s="37"/>
      <c r="C4" s="36" t="s">
        <v>35</v>
      </c>
      <c r="D4" s="110"/>
      <c r="E4" s="145"/>
      <c r="F4" s="53"/>
      <c r="G4" s="54" t="s">
        <v>36</v>
      </c>
    </row>
    <row r="5" spans="1:7" s="128" customFormat="1" ht="25.15" customHeight="1" x14ac:dyDescent="0.25">
      <c r="A5" s="43" t="s">
        <v>37</v>
      </c>
      <c r="B5" s="44"/>
      <c r="C5" s="33" t="s">
        <v>38</v>
      </c>
      <c r="D5" s="108"/>
      <c r="E5" s="147"/>
      <c r="F5" s="47"/>
      <c r="G5" s="48" t="s">
        <v>39</v>
      </c>
    </row>
    <row r="6" spans="1:7" s="128" customFormat="1" ht="25.15" customHeight="1" x14ac:dyDescent="0.25">
      <c r="A6" s="42" t="s">
        <v>40</v>
      </c>
      <c r="B6" s="37"/>
      <c r="C6" s="36" t="s">
        <v>41</v>
      </c>
      <c r="D6" s="110"/>
      <c r="E6" s="145"/>
      <c r="F6" s="53"/>
      <c r="G6" s="54" t="s">
        <v>42</v>
      </c>
    </row>
    <row r="7" spans="1:7" s="128" customFormat="1" ht="25.15" customHeight="1" thickBot="1" x14ac:dyDescent="0.3">
      <c r="A7" s="113" t="s">
        <v>43</v>
      </c>
      <c r="B7" s="112"/>
      <c r="C7" s="111" t="s">
        <v>44</v>
      </c>
      <c r="D7" s="119"/>
      <c r="E7" s="148"/>
      <c r="F7" s="71"/>
      <c r="G7" s="50" t="str">
        <f>IF(E6="Yes","This calculator does not cater for flaring at long extent perpendicular hazards. Refer Austroads Guide to Road Design Part 6 Appendix G.2.","Flaring of barriers should only be used where necessary. If flaring is to be used, it is recommended that the maximum flare be no more than 1.0m.")</f>
        <v>Flaring of barriers should only be used where necessary. If flaring is to be used, it is recommended that the maximum flare be no more than 1.0m.</v>
      </c>
    </row>
    <row r="8" spans="1:7" s="128" customFormat="1" ht="25.15" customHeight="1" thickBot="1" x14ac:dyDescent="0.3">
      <c r="A8" s="115" t="s">
        <v>45</v>
      </c>
      <c r="B8" s="116"/>
      <c r="C8" s="117"/>
      <c r="D8" s="88" t="s">
        <v>46</v>
      </c>
      <c r="E8" s="118"/>
      <c r="F8" s="52"/>
      <c r="G8" s="48"/>
    </row>
    <row r="9" spans="1:7" s="128" customFormat="1" ht="22.9" customHeight="1" x14ac:dyDescent="0.25">
      <c r="A9" s="55" t="s">
        <v>47</v>
      </c>
      <c r="B9" s="56"/>
      <c r="C9" s="57" t="s">
        <v>48</v>
      </c>
      <c r="D9" s="58" t="s">
        <v>49</v>
      </c>
      <c r="E9" s="146"/>
      <c r="F9" s="45"/>
      <c r="G9" s="46" t="s">
        <v>50</v>
      </c>
    </row>
    <row r="10" spans="1:7" s="128" customFormat="1" ht="22.9" customHeight="1" x14ac:dyDescent="0.25">
      <c r="A10" s="42" t="s">
        <v>51</v>
      </c>
      <c r="B10" s="35"/>
      <c r="C10" s="38" t="s">
        <v>52</v>
      </c>
      <c r="D10" s="34" t="s">
        <v>53</v>
      </c>
      <c r="E10" s="145"/>
      <c r="F10" s="53"/>
      <c r="G10" s="54" t="s">
        <v>54</v>
      </c>
    </row>
    <row r="11" spans="1:7" s="128" customFormat="1" ht="22.9" customHeight="1" x14ac:dyDescent="0.25">
      <c r="A11" s="42" t="s">
        <v>55</v>
      </c>
      <c r="B11" s="44"/>
      <c r="C11" s="40" t="s">
        <v>56</v>
      </c>
      <c r="D11" s="59" t="s">
        <v>57</v>
      </c>
      <c r="E11" s="147"/>
      <c r="F11" s="47"/>
      <c r="G11" s="48" t="s">
        <v>58</v>
      </c>
    </row>
    <row r="12" spans="1:7" s="128" customFormat="1" ht="22.9" customHeight="1" x14ac:dyDescent="0.25">
      <c r="A12" s="42" t="s">
        <v>59</v>
      </c>
      <c r="B12" s="37"/>
      <c r="C12" s="38" t="s">
        <v>60</v>
      </c>
      <c r="D12" s="34" t="s">
        <v>61</v>
      </c>
      <c r="E12" s="145"/>
      <c r="F12" s="53"/>
      <c r="G12" s="54" t="s">
        <v>58</v>
      </c>
    </row>
    <row r="13" spans="1:7" s="128" customFormat="1" ht="22.9" customHeight="1" x14ac:dyDescent="0.25">
      <c r="A13" s="42" t="s">
        <v>62</v>
      </c>
      <c r="B13" s="39"/>
      <c r="C13" s="40" t="s">
        <v>63</v>
      </c>
      <c r="D13" s="41" t="s">
        <v>64</v>
      </c>
      <c r="E13" s="147"/>
      <c r="F13" s="47"/>
      <c r="G13" s="54" t="s">
        <v>65</v>
      </c>
    </row>
    <row r="14" spans="1:7" s="128" customFormat="1" ht="22.9" customHeight="1" x14ac:dyDescent="0.25">
      <c r="A14" s="42" t="s">
        <v>66</v>
      </c>
      <c r="B14" s="37"/>
      <c r="C14" s="38" t="s">
        <v>67</v>
      </c>
      <c r="D14" s="34" t="s">
        <v>68</v>
      </c>
      <c r="E14" s="145"/>
      <c r="F14" s="53"/>
      <c r="G14" s="215" t="s">
        <v>69</v>
      </c>
    </row>
    <row r="15" spans="1:7" s="128" customFormat="1" ht="22.9" customHeight="1" x14ac:dyDescent="0.25">
      <c r="A15" s="100" t="s">
        <v>70</v>
      </c>
      <c r="B15" s="101"/>
      <c r="C15" s="102" t="s">
        <v>71</v>
      </c>
      <c r="D15" s="103" t="s">
        <v>72</v>
      </c>
      <c r="E15" s="145"/>
      <c r="F15" s="53"/>
      <c r="G15" s="215" t="s">
        <v>73</v>
      </c>
    </row>
    <row r="16" spans="1:7" s="128" customFormat="1" ht="22.9" customHeight="1" thickBot="1" x14ac:dyDescent="0.3">
      <c r="A16" s="104" t="s">
        <v>74</v>
      </c>
      <c r="B16" s="105"/>
      <c r="C16" s="106" t="s">
        <v>75</v>
      </c>
      <c r="D16" s="107" t="s">
        <v>76</v>
      </c>
      <c r="E16" s="145"/>
      <c r="F16" s="49"/>
      <c r="G16" s="54" t="str">
        <f>IF(AND(E3="One-way",E7="Yes"),"Flaring of the trailing length of barrier is not recommended on one-way carriageways","Only use if the barrier is flared, otherwise leave as 0.")</f>
        <v>Only use if the barrier is flared, otherwise leave as 0.</v>
      </c>
    </row>
    <row r="17" spans="1:7" s="128" customFormat="1" ht="25.15" customHeight="1" thickBot="1" x14ac:dyDescent="0.3">
      <c r="A17" s="90" t="s">
        <v>77</v>
      </c>
      <c r="B17" s="91"/>
      <c r="C17" s="91"/>
      <c r="D17" s="91"/>
      <c r="E17" s="92"/>
      <c r="F17" s="81"/>
      <c r="G17" s="82"/>
    </row>
    <row r="18" spans="1:7" s="128" customFormat="1" ht="22.9" customHeight="1" x14ac:dyDescent="0.25">
      <c r="A18" s="174" t="s">
        <v>78</v>
      </c>
      <c r="B18" s="175"/>
      <c r="C18" s="176" t="s">
        <v>79</v>
      </c>
      <c r="D18" s="61" t="s">
        <v>80</v>
      </c>
      <c r="E18" s="79" t="str">
        <f>IF(
OR($E$4="",$E$5=""),"-",'Lr for AADT'!$A$11)</f>
        <v>-</v>
      </c>
      <c r="F18" s="65"/>
      <c r="G18" s="66" t="s">
        <v>81</v>
      </c>
    </row>
    <row r="19" spans="1:7" s="128" customFormat="1" ht="22.9" customHeight="1" thickBot="1" x14ac:dyDescent="0.3">
      <c r="A19" s="177" t="s">
        <v>82</v>
      </c>
      <c r="B19" s="62"/>
      <c r="C19" s="63" t="s">
        <v>83</v>
      </c>
      <c r="D19" s="64" t="s">
        <v>84</v>
      </c>
      <c r="E19" s="80" t="str">
        <f>IF($E$18="-","-",$E$9/$E$18)</f>
        <v>-</v>
      </c>
      <c r="F19" s="67"/>
      <c r="G19" s="68" t="s">
        <v>85</v>
      </c>
    </row>
    <row r="20" spans="1:7" s="128" customFormat="1" ht="25.15" customHeight="1" thickBot="1" x14ac:dyDescent="0.3">
      <c r="A20" s="93" t="s">
        <v>86</v>
      </c>
      <c r="B20" s="94"/>
      <c r="C20" s="95"/>
      <c r="D20" s="96"/>
      <c r="E20" s="97"/>
      <c r="F20" s="51"/>
      <c r="G20" s="60"/>
    </row>
    <row r="21" spans="1:7" s="128" customFormat="1" ht="22.9" customHeight="1" x14ac:dyDescent="0.25">
      <c r="A21" s="178" t="s">
        <v>87</v>
      </c>
      <c r="B21" s="179"/>
      <c r="C21" s="180" t="s">
        <v>88</v>
      </c>
      <c r="D21" s="72" t="s">
        <v>89</v>
      </c>
      <c r="E21" s="78" t="str">
        <f>IF($E$18="-","-",
IF($E$6="No",MAX(($E$18/$E$9)*($E$9-($E$10+$E$15)),8*($E$9-($E$10+$E$15))),2*$E$18)
)</f>
        <v>-</v>
      </c>
      <c r="F21" s="65"/>
      <c r="G21" s="66" t="s">
        <v>90</v>
      </c>
    </row>
    <row r="22" spans="1:7" s="128" customFormat="1" ht="22.9" customHeight="1" x14ac:dyDescent="0.25">
      <c r="A22" s="181" t="s">
        <v>91</v>
      </c>
      <c r="B22" s="73"/>
      <c r="C22" s="73" t="s">
        <v>67</v>
      </c>
      <c r="D22" s="74" t="s">
        <v>68</v>
      </c>
      <c r="E22" s="98" t="str">
        <f>IF(E14="","-",$E$14)</f>
        <v>-</v>
      </c>
      <c r="F22" s="69"/>
      <c r="G22" s="54" t="s">
        <v>92</v>
      </c>
    </row>
    <row r="23" spans="1:7" s="128" customFormat="1" ht="22.9" customHeight="1" x14ac:dyDescent="0.25">
      <c r="A23" s="182" t="s">
        <v>93</v>
      </c>
      <c r="B23" s="73"/>
      <c r="C23" s="75" t="s">
        <v>94</v>
      </c>
      <c r="D23" s="76" t="s">
        <v>95</v>
      </c>
      <c r="E23" s="99" t="str">
        <f>IF($E$3="One-way",4*($E$13-$E$10),"-")</f>
        <v>-</v>
      </c>
      <c r="F23" s="70"/>
      <c r="G23" s="54" t="s">
        <v>96</v>
      </c>
    </row>
    <row r="24" spans="1:7" s="128" customFormat="1" ht="22.9" customHeight="1" thickBot="1" x14ac:dyDescent="0.3">
      <c r="A24" s="183" t="s">
        <v>97</v>
      </c>
      <c r="B24" s="179"/>
      <c r="C24" s="180" t="s">
        <v>98</v>
      </c>
      <c r="D24" s="77" t="s">
        <v>99</v>
      </c>
      <c r="E24" s="136" t="str">
        <f>IF($E$18="-","-",
IF($E$3="One-way","-",MAX(($E$18/$E$11)*($E$11-($E$12+$E16)),8*($E$11-($E$12+$E16))))
)</f>
        <v>-</v>
      </c>
      <c r="F24" s="52"/>
      <c r="G24" s="135" t="s">
        <v>85</v>
      </c>
    </row>
    <row r="25" spans="1:7" s="128" customFormat="1" ht="22.9" customHeight="1" thickBot="1" x14ac:dyDescent="0.3">
      <c r="A25" s="144" t="s">
        <v>100</v>
      </c>
      <c r="B25" s="140"/>
      <c r="C25" s="141"/>
      <c r="D25" s="142"/>
      <c r="E25" s="143"/>
      <c r="F25" s="139"/>
      <c r="G25" s="60"/>
    </row>
    <row r="26" spans="1:7" s="128" customFormat="1" ht="25.15" customHeight="1" thickBot="1" x14ac:dyDescent="0.3">
      <c r="A26" s="216" t="str">
        <f>CONCATENATE(" ",Instructions!C7," - ",$E$3," ",
IF($E$6="No","","Perpendicular"),
IF($E$6="No",""," "),
IF($E$7="No","Straight","Flared")
)</f>
        <v xml:space="preserve">  -  Perpendicular Flared</v>
      </c>
      <c r="B26" s="217"/>
      <c r="C26" s="218"/>
      <c r="D26" s="188" t="str">
        <f>IF($E$3="","-",
INDEX('Lr for AADT'!$B$15:$C$16,MATCH($E$3,'Lr for AADT'!$A$15:$A$16,0),MATCH($E$6,'Lr for AADT'!$B$14:$C$14,0))
)</f>
        <v>-</v>
      </c>
      <c r="E26" s="137" t="str">
        <f>IF(
OR($E$18="-",$E$22="-"),"-",
IF($E$6="No",IF($E$3="One-way",($E$21+$E$14-$E$23),($E$21+$E$14+$E$24)),
IF($E$3="One-way",((2*($E$18))+$E$22-$E$23),(2*($E$18)+$E$22+(2*($E$18)))))
)</f>
        <v>-</v>
      </c>
      <c r="F26" s="71"/>
      <c r="G26" s="138" t="s">
        <v>101</v>
      </c>
    </row>
    <row r="27" spans="1:7" s="128" customFormat="1" ht="14.45" customHeight="1" x14ac:dyDescent="0.25">
      <c r="A27" s="122"/>
      <c r="B27" s="123"/>
      <c r="C27" s="124"/>
      <c r="D27" s="125"/>
      <c r="E27" s="126"/>
      <c r="F27" s="52"/>
      <c r="G27" s="127"/>
    </row>
    <row r="28" spans="1:7" x14ac:dyDescent="0.25">
      <c r="A28" s="129"/>
    </row>
    <row r="30" spans="1:7" x14ac:dyDescent="0.25">
      <c r="A30" s="130"/>
    </row>
    <row r="31" spans="1:7" x14ac:dyDescent="0.25">
      <c r="C31" s="133"/>
    </row>
    <row r="32" spans="1:7" x14ac:dyDescent="0.25">
      <c r="C32" s="133"/>
    </row>
    <row r="33" spans="3:3" x14ac:dyDescent="0.25">
      <c r="C33" s="133"/>
    </row>
    <row r="35" spans="3:3" x14ac:dyDescent="0.25">
      <c r="C35" s="133"/>
    </row>
    <row r="36" spans="3:3" x14ac:dyDescent="0.25">
      <c r="C36" s="133"/>
    </row>
    <row r="38" spans="3:3" x14ac:dyDescent="0.25">
      <c r="C38" s="134"/>
    </row>
    <row r="41" spans="3:3" x14ac:dyDescent="0.25">
      <c r="C41" s="133"/>
    </row>
  </sheetData>
  <sheetProtection sheet="1" objects="1" scenarios="1"/>
  <mergeCells count="1">
    <mergeCell ref="A26:C26"/>
  </mergeCells>
  <phoneticPr fontId="4" type="noConversion"/>
  <conditionalFormatting sqref="A11:E12 A24:E24">
    <cfRule type="expression" dxfId="36" priority="14">
      <formula>IF($E$3="One-way",1,0)</formula>
    </cfRule>
  </conditionalFormatting>
  <conditionalFormatting sqref="A13:E13 A23:E23">
    <cfRule type="expression" dxfId="35" priority="12">
      <formula>IF($E$3="Two-way",1,0)</formula>
    </cfRule>
  </conditionalFormatting>
  <conditionalFormatting sqref="A7:E7 A9:E12 A15:E16">
    <cfRule type="expression" dxfId="34" priority="11">
      <formula>IF($E$6="Yes",1,0)</formula>
    </cfRule>
  </conditionalFormatting>
  <conditionalFormatting sqref="A15:E16">
    <cfRule type="expression" dxfId="33" priority="4">
      <formula>IF($E$7="No",1,0)</formula>
    </cfRule>
  </conditionalFormatting>
  <conditionalFormatting sqref="A16:E16">
    <cfRule type="expression" dxfId="32" priority="1">
      <formula>IF(AND($E$3="One-way",$E$7="Yes"),1,0)</formula>
    </cfRule>
  </conditionalFormatting>
  <pageMargins left="0.7" right="0.7" top="0.75" bottom="0.75" header="0.3" footer="0.3"/>
  <pageSetup paperSize="9" scale="88" fitToHeight="0" orientation="portrait" r:id="rId1"/>
  <rowBreaks count="1" manualBreakCount="1">
    <brk id="27" max="3" man="1"/>
  </rowBreaks>
  <colBreaks count="1" manualBreakCount="1">
    <brk id="7" max="1048575" man="1"/>
  </col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r:uid="{F6A4856F-F6A6-4AAF-B8CC-FA85B88A875B}">
          <x14:formula1>
            <xm:f>'Pull-down Inputs'!$A$4:$A$6</xm:f>
          </x14:formula1>
          <xm:sqref>E3</xm:sqref>
        </x14:dataValidation>
        <x14:dataValidation type="list" allowBlank="1" showInputMessage="1" showErrorMessage="1" xr:uid="{F96B3BBB-85F6-46EA-8CAC-87ACD5538B42}">
          <x14:formula1>
            <xm:f>'Pull-down Inputs'!$B$4:$B$11</xm:f>
          </x14:formula1>
          <xm:sqref>E4</xm:sqref>
        </x14:dataValidation>
        <x14:dataValidation type="list" allowBlank="1" showInputMessage="1" showErrorMessage="1" xr:uid="{B509680E-8210-41B2-BA5F-C31544255F90}">
          <x14:formula1>
            <xm:f>'Pull-down Inputs'!$C$5:$C$8</xm:f>
          </x14:formula1>
          <xm:sqref>F8</xm:sqref>
        </x14:dataValidation>
        <x14:dataValidation type="list" allowBlank="1" showInputMessage="1" showErrorMessage="1" xr:uid="{F1614672-50AE-4D77-930B-6EA6613812F2}">
          <x14:formula1>
            <xm:f>'Pull-down Inputs'!$D$4:$D$6</xm:f>
          </x14:formula1>
          <xm:sqref>E6</xm:sqref>
        </x14:dataValidation>
        <x14:dataValidation type="list" allowBlank="1" showInputMessage="1" showErrorMessage="1" xr:uid="{AD92F4C6-0096-4DFA-B07C-AB9F40B44B37}">
          <x14:formula1>
            <xm:f>'Pull-down Inputs'!$C$4:$C$8</xm:f>
          </x14:formula1>
          <xm:sqref>E5</xm:sqref>
        </x14:dataValidation>
        <x14:dataValidation type="list" allowBlank="1" showInputMessage="1" showErrorMessage="1" xr:uid="{88BDBD04-9A92-478E-86C8-09A243FEAF16}">
          <x14:formula1>
            <xm:f>'Pull-down Inputs'!$E$4:$E$6</xm:f>
          </x14:formula1>
          <xm:sqref>E7</xm:sqref>
        </x14:dataValidation>
        <x14:dataValidation type="decimal" allowBlank="1" showInputMessage="1" showErrorMessage="1" xr:uid="{F2C68660-FE87-4949-9873-66A0DE0AE7FB}">
          <x14:formula1>
            <xm:f>'Pull-down Inputs'!F13</xm:f>
          </x14:formula1>
          <x14:formula2>
            <xm:f>'Pull-down Inputs'!F14</xm:f>
          </x14:formula2>
          <xm:sqref>E22</xm:sqref>
        </x14:dataValidation>
        <x14:dataValidation type="decimal" allowBlank="1" showInputMessage="1" showErrorMessage="1" xr:uid="{1BA39E90-785E-43AF-A090-742CB2060C38}">
          <x14:formula1>
            <xm:f>'Pull-down Inputs'!F5</xm:f>
          </x14:formula1>
          <x14:formula2>
            <xm:f>'Pull-down Inputs'!F6</xm:f>
          </x14:formula2>
          <xm:sqref>F22:F23 E10:F10</xm:sqref>
        </x14:dataValidation>
        <x14:dataValidation type="decimal" allowBlank="1" showInputMessage="1" showErrorMessage="1" xr:uid="{44CAE67C-15E1-4AD1-A921-F986FAB6CE38}">
          <x14:formula1>
            <xm:f>'Pull-down Inputs'!F4</xm:f>
          </x14:formula1>
          <x14:formula2>
            <xm:f>'Pull-down Inputs'!F5</xm:f>
          </x14:formula2>
          <xm:sqref>E14:E16</xm:sqref>
        </x14:dataValidation>
        <x14:dataValidation type="decimal" allowBlank="1" showInputMessage="1" showErrorMessage="1" xr:uid="{27C24BC1-EF32-48FB-BDA9-24AA99DC812A}">
          <x14:formula1>
            <xm:f>'Pull-down Inputs'!F6</xm:f>
          </x14:formula1>
          <x14:formula2>
            <xm:f>'Pull-down Inputs'!F7</xm:f>
          </x14:formula2>
          <xm:sqref>E12:E13 F12:F15</xm:sqref>
        </x14:dataValidation>
        <x14:dataValidation type="decimal" allowBlank="1" showInputMessage="1" showErrorMessage="1" xr:uid="{BEEE39D6-107A-43C0-A8FD-43B8AAF33A7D}">
          <x14:formula1>
            <xm:f>'Pull-down Inputs'!F9</xm:f>
          </x14:formula1>
          <x14:formula2>
            <xm:f>'Pull-down Inputs'!F10</xm:f>
          </x14:formula2>
          <xm:sqref>F16:F17 E17</xm:sqref>
        </x14:dataValidation>
        <x14:dataValidation type="decimal" allowBlank="1" showInputMessage="1" showErrorMessage="1" xr:uid="{B83562BA-57E5-4B6A-AE40-B3B7687B0300}">
          <x14:formula1>
            <xm:f>'Pull-down Inputs'!F10</xm:f>
          </x14:formula1>
          <x14:formula2>
            <xm:f>'Pull-down Inputs'!F11</xm:f>
          </x14:formula2>
          <xm:sqref>E11:F11</xm:sqref>
        </x14:dataValidation>
        <x14:dataValidation type="decimal" allowBlank="1" showInputMessage="1" showErrorMessage="1" xr:uid="{BD6CBA82-60EE-432D-AAB1-A5DC08D141EB}">
          <x14:formula1>
            <xm:f>'Pull-down Inputs'!F3</xm:f>
          </x14:formula1>
          <x14:formula2>
            <xm:f>'Pull-down Inputs'!F5</xm:f>
          </x14:formula2>
          <xm:sqref>E9:F9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A20AB-ACB7-4090-BA2D-6864D91D250E}">
  <sheetPr>
    <pageSetUpPr fitToPage="1"/>
  </sheetPr>
  <dimension ref="A1:Y26"/>
  <sheetViews>
    <sheetView zoomScale="90" zoomScaleNormal="90" workbookViewId="0">
      <selection activeCell="M14" sqref="M14"/>
    </sheetView>
  </sheetViews>
  <sheetFormatPr defaultColWidth="8.85546875" defaultRowHeight="15" x14ac:dyDescent="0.25"/>
  <cols>
    <col min="1" max="1" width="6" style="211" customWidth="1"/>
    <col min="2" max="2" width="30.7109375" style="211" customWidth="1"/>
    <col min="3" max="3" width="13.42578125" style="211" customWidth="1"/>
    <col min="4" max="5" width="11.7109375" style="211" customWidth="1"/>
    <col min="6" max="6" width="12.7109375" style="211" customWidth="1"/>
    <col min="7" max="7" width="11.7109375" style="211" customWidth="1"/>
    <col min="8" max="9" width="8.28515625" style="211" customWidth="1"/>
    <col min="10" max="10" width="10.28515625" style="211" customWidth="1"/>
    <col min="11" max="11" width="10.140625" style="211" customWidth="1"/>
    <col min="12" max="13" width="8.28515625" style="211" customWidth="1"/>
    <col min="14" max="14" width="9.42578125" style="211" customWidth="1"/>
    <col min="15" max="15" width="9.28515625" style="211" customWidth="1"/>
    <col min="16" max="23" width="8.28515625" style="52" customWidth="1"/>
    <col min="24" max="25" width="12.7109375" style="132" customWidth="1"/>
    <col min="26" max="26" width="4" style="52" customWidth="1"/>
    <col min="27" max="16384" width="8.85546875" style="52"/>
  </cols>
  <sheetData>
    <row r="1" spans="1:25" ht="19.899999999999999" customHeight="1" thickBot="1" x14ac:dyDescent="0.3">
      <c r="A1" s="162" t="str">
        <f>CONCATENATE("Project Name:"," ",Instructions!C6)</f>
        <v xml:space="preserve">Project Name: </v>
      </c>
      <c r="B1" s="52"/>
      <c r="C1" s="52"/>
      <c r="D1" s="52"/>
      <c r="E1" s="52"/>
      <c r="F1" s="52"/>
      <c r="G1" s="52"/>
      <c r="H1" s="52"/>
      <c r="I1" s="52"/>
      <c r="J1" s="52"/>
      <c r="K1" s="52"/>
      <c r="L1" s="52"/>
      <c r="M1" s="52"/>
      <c r="N1" s="52"/>
      <c r="O1" s="52"/>
    </row>
    <row r="2" spans="1:25" ht="19.899999999999999" customHeight="1" thickBot="1" x14ac:dyDescent="0.3">
      <c r="A2" s="225" t="s">
        <v>102</v>
      </c>
      <c r="B2" s="226"/>
      <c r="C2" s="219" t="s">
        <v>103</v>
      </c>
      <c r="D2" s="219"/>
      <c r="E2" s="219"/>
      <c r="F2" s="219"/>
      <c r="G2" s="219"/>
      <c r="H2" s="219"/>
      <c r="I2" s="219"/>
      <c r="J2" s="219"/>
      <c r="K2" s="219"/>
      <c r="L2" s="219"/>
      <c r="M2" s="220"/>
      <c r="N2" s="109"/>
      <c r="O2" s="109"/>
      <c r="P2" s="227" t="s">
        <v>104</v>
      </c>
      <c r="Q2" s="228"/>
      <c r="R2" s="228"/>
      <c r="S2" s="229"/>
      <c r="T2" s="221" t="s">
        <v>105</v>
      </c>
      <c r="U2" s="222"/>
      <c r="V2" s="222"/>
      <c r="W2" s="223"/>
      <c r="X2" s="223"/>
      <c r="Y2" s="224"/>
    </row>
    <row r="3" spans="1:25" ht="19.899999999999999" customHeight="1" thickBot="1" x14ac:dyDescent="0.3">
      <c r="A3" s="192" t="s">
        <v>106</v>
      </c>
      <c r="B3" s="193" t="s">
        <v>107</v>
      </c>
      <c r="C3" s="194" t="s">
        <v>108</v>
      </c>
      <c r="D3" s="194" t="s">
        <v>109</v>
      </c>
      <c r="E3" s="194" t="s">
        <v>110</v>
      </c>
      <c r="F3" s="194" t="s">
        <v>111</v>
      </c>
      <c r="G3" s="194" t="s">
        <v>112</v>
      </c>
      <c r="H3" s="194" t="s">
        <v>113</v>
      </c>
      <c r="I3" s="194" t="s">
        <v>114</v>
      </c>
      <c r="J3" s="194" t="s">
        <v>115</v>
      </c>
      <c r="K3" s="194" t="s">
        <v>116</v>
      </c>
      <c r="L3" s="194" t="s">
        <v>117</v>
      </c>
      <c r="M3" s="194" t="s">
        <v>68</v>
      </c>
      <c r="N3" s="194" t="s">
        <v>118</v>
      </c>
      <c r="O3" s="195" t="s">
        <v>119</v>
      </c>
      <c r="P3" s="196" t="s">
        <v>120</v>
      </c>
      <c r="Q3" s="197" t="s">
        <v>121</v>
      </c>
      <c r="R3" s="197" t="s">
        <v>122</v>
      </c>
      <c r="S3" s="198" t="s">
        <v>123</v>
      </c>
      <c r="T3" s="199" t="s">
        <v>124</v>
      </c>
      <c r="U3" s="200" t="s">
        <v>125</v>
      </c>
      <c r="V3" s="200" t="s">
        <v>95</v>
      </c>
      <c r="W3" s="201" t="s">
        <v>126</v>
      </c>
      <c r="X3" s="202" t="s">
        <v>127</v>
      </c>
      <c r="Y3" s="203" t="s">
        <v>128</v>
      </c>
    </row>
    <row r="4" spans="1:25" x14ac:dyDescent="0.25">
      <c r="A4" s="208">
        <v>1</v>
      </c>
      <c r="B4" s="204"/>
      <c r="C4" s="149" t="s">
        <v>129</v>
      </c>
      <c r="D4" s="149">
        <v>100</v>
      </c>
      <c r="E4" s="149" t="s">
        <v>130</v>
      </c>
      <c r="F4" s="149" t="s">
        <v>131</v>
      </c>
      <c r="G4" s="149" t="s">
        <v>131</v>
      </c>
      <c r="H4" s="149">
        <v>6.5</v>
      </c>
      <c r="I4" s="149">
        <v>3</v>
      </c>
      <c r="J4" s="149">
        <v>10</v>
      </c>
      <c r="K4" s="149">
        <v>6.5</v>
      </c>
      <c r="L4" s="149">
        <v>4</v>
      </c>
      <c r="M4" s="149">
        <v>6</v>
      </c>
      <c r="N4" s="149">
        <v>0</v>
      </c>
      <c r="O4" s="151">
        <v>0</v>
      </c>
      <c r="P4" s="153">
        <f>IF(
OR($C4="",$D4="",$E4=""),"",
INDEX('Lr for AADT'!$B$3:$E$9,MATCH($D4,'Lr for AADT'!$A$3:$A$9,0),MATCH($E4,'Lr for AADT'!$B$2:$E$2,0))
)</f>
        <v>76</v>
      </c>
      <c r="Q4" s="121" cm="1">
        <f t="array" ref="Q4">_xlfn.IFS(
$F4="Yes","0",
OR($H4="",$P4=""),"",
$F4="No",($H4/$P4)
)</f>
        <v>8.5526315789473686E-2</v>
      </c>
      <c r="R4" s="120" cm="1">
        <f t="array" ref="R4">_xlfn.IFS(
$F4="Yes",2*$P4,
OR($F4="",$H4="",$I4="",$P4=""),"",
$F4="No",8*($H4-($I4+$N4))
)</f>
        <v>28</v>
      </c>
      <c r="S4" s="154" cm="1">
        <f t="array" ref="S4">_xlfn.IFS(
$C4="One-way","0",
$C4="Two-way",8*($J4-($K4+$O4)),
OR($J4="",$P4=""),""
)</f>
        <v>28</v>
      </c>
      <c r="T4" s="152" cm="1">
        <f t="array" ref="T4">_xlfn.IFS(
$F4="Yes",2*$P4,
OR($F4="",$H4="",$I4="",$P4=""),"",
$F4="No",MAX(($P4/$H4)*($H4-($I4+$N4)),8*($H4-($I4+$N4)))
)</f>
        <v>40.92307692307692</v>
      </c>
      <c r="U4" s="31">
        <f t="shared" ref="U4:U11" si="0">IF($M4="","",$M4)</f>
        <v>6</v>
      </c>
      <c r="V4" s="31" t="str" cm="1">
        <f t="array" ref="V4">_xlfn.IFS(
$C4="Two-way","0",
$C4="One-way",4*($L4-$I4),
OR($C4="",$I4="",$L4=""),""
)</f>
        <v>0</v>
      </c>
      <c r="W4" s="155" cm="1">
        <f t="array" ref="W4">_xlfn.IFS(
$C4="One-Way","0",
$F4="Yes",2*$P4,
OR($C4="",$J4="",$K4="",$P4=""),"",
$F4="No",MAX(($P4/$J4)*($J4-($K4+$O4)),8*($J4-($K4+$O4)))
)</f>
        <v>28</v>
      </c>
      <c r="X4" s="156" t="str">
        <f>IF(
OR($C4="",$F4=""),"",
INDEX('Lr for AADT'!$B$15:$C$16,MATCH(C4,'Lr for AADT'!$A$15:$A$16,0),MATCH(F4,'Lr for AADT'!$B$14:$C$14,0))
)</f>
        <v>X1 + W + X2</v>
      </c>
      <c r="Y4" s="190">
        <f t="shared" ref="Y4:Y6" si="1">IF(OR($P4="",$T4="",$U4="",$V4="",$W4=""),"",(T4+U4-V4+W4))</f>
        <v>74.92307692307692</v>
      </c>
    </row>
    <row r="5" spans="1:25" x14ac:dyDescent="0.25">
      <c r="A5" s="209">
        <v>2</v>
      </c>
      <c r="B5" s="205"/>
      <c r="C5" s="150" t="s">
        <v>132</v>
      </c>
      <c r="D5" s="150">
        <v>100</v>
      </c>
      <c r="E5" s="149" t="s">
        <v>130</v>
      </c>
      <c r="F5" s="149" t="s">
        <v>133</v>
      </c>
      <c r="G5" s="149" t="s">
        <v>131</v>
      </c>
      <c r="H5" s="149"/>
      <c r="I5" s="149"/>
      <c r="J5" s="149"/>
      <c r="K5" s="149"/>
      <c r="L5" s="149">
        <v>4</v>
      </c>
      <c r="M5" s="149">
        <v>30</v>
      </c>
      <c r="N5" s="149"/>
      <c r="O5" s="151"/>
      <c r="P5" s="153">
        <f>IF(
OR($C5="",$D5="",$E5=""),"",
INDEX('Lr for AADT'!$B$3:$E$9,MATCH($D5,'Lr for AADT'!$A$3:$A$9,0),MATCH($E5,'Lr for AADT'!$B$2:$E$2,0))
)</f>
        <v>76</v>
      </c>
      <c r="Q5" s="121" t="str" cm="1">
        <f t="array" ref="Q5">_xlfn.IFS(
$F5="Yes","0",
OR($H5="",$P5=""),"",
$F5="No",($H5/$P5)
)</f>
        <v>0</v>
      </c>
      <c r="R5" s="120" cm="1">
        <f t="array" ref="R5">_xlfn.IFS(
$F5="Yes",2*$P5,
OR($F5="",$H5="",$I5="",$P5=""),"",
$F5="No",8*($H5-($I5+$N5))
)</f>
        <v>152</v>
      </c>
      <c r="S5" s="154" t="str" cm="1">
        <f t="array" ref="S5">_xlfn.IFS(
$C5="One-way","0",
$C5="Two-way",8*($J5-($K5+$O5)),
OR($J5="",$P5=""),""
)</f>
        <v>0</v>
      </c>
      <c r="T5" s="152" cm="1">
        <f t="array" ref="T5">_xlfn.IFS(
$F5="Yes",2*$P5,
OR($F5="",$H5="",$I5="",$P5=""),"",
$F5="No",MAX(($P5/$H5)*($H5-($I5+$N5)),8*($H5-($I5+$N5)))
)</f>
        <v>152</v>
      </c>
      <c r="U5" s="31">
        <f t="shared" si="0"/>
        <v>30</v>
      </c>
      <c r="V5" s="31" cm="1">
        <f t="array" ref="V5">_xlfn.IFS(
$C5="Two-way","0",
$C5="One-way",4*($L5-$I5),
OR($C5="",$I5="",$L5=""),""
)</f>
        <v>16</v>
      </c>
      <c r="W5" s="155" t="str" cm="1">
        <f t="array" ref="W5">_xlfn.IFS(
$C5="One-Way","0",
$F5="Yes",2*$P5,
OR($C5="",$J5="",$K5="",$P5=""),"",
$F5="No",MAX(($P5/$J5)*($J5-($K5+$O5)),8*($J5-($K5+$O5)))
)</f>
        <v>0</v>
      </c>
      <c r="X5" s="156" t="str">
        <f>IF(
OR($C5="",$F5=""),"",
INDEX('Lr for AADT'!$B$15:$C$16,MATCH(C5,'Lr for AADT'!$A$15:$A$16,0),MATCH(F5,'Lr for AADT'!$B$14:$C$14,0))
)</f>
        <v>2LR + W - Z</v>
      </c>
      <c r="Y5" s="190">
        <f t="shared" si="1"/>
        <v>166</v>
      </c>
    </row>
    <row r="6" spans="1:25" x14ac:dyDescent="0.25">
      <c r="A6" s="209">
        <v>3</v>
      </c>
      <c r="B6" s="205"/>
      <c r="C6" s="149" t="s">
        <v>129</v>
      </c>
      <c r="D6" s="149">
        <v>100</v>
      </c>
      <c r="E6" s="149" t="s">
        <v>130</v>
      </c>
      <c r="F6" s="149" t="s">
        <v>131</v>
      </c>
      <c r="G6" s="149" t="s">
        <v>133</v>
      </c>
      <c r="H6" s="149">
        <v>6</v>
      </c>
      <c r="I6" s="149">
        <v>3</v>
      </c>
      <c r="J6" s="149">
        <v>13</v>
      </c>
      <c r="K6" s="149">
        <v>10</v>
      </c>
      <c r="L6" s="149"/>
      <c r="M6" s="149">
        <v>3</v>
      </c>
      <c r="N6" s="149">
        <v>0.6</v>
      </c>
      <c r="O6" s="151">
        <v>0</v>
      </c>
      <c r="P6" s="153">
        <f>IF(
OR($C6="",$D6="",$E6=""),"",
INDEX('Lr for AADT'!$B$3:$E$9,MATCH($D6,'Lr for AADT'!$A$3:$A$9,0),MATCH($E6,'Lr for AADT'!$B$2:$E$2,0))
)</f>
        <v>76</v>
      </c>
      <c r="Q6" s="121" cm="1">
        <f t="array" ref="Q6">_xlfn.IFS(
$F6="Yes","0",
OR($H6="",$P6=""),"",
$F6="No",($H6/$P6)
)</f>
        <v>7.8947368421052627E-2</v>
      </c>
      <c r="R6" s="120" cm="1">
        <f t="array" ref="R6">_xlfn.IFS(
$F6="Yes",2*$P6,
OR($F6="",$H6="",$I6="",$P6=""),"",
$F6="No",8*($H6-($I6+$N6))
)</f>
        <v>19.2</v>
      </c>
      <c r="S6" s="154" cm="1">
        <f t="array" ref="S6">_xlfn.IFS(
$C6="One-way","0",
$C6="Two-way",8*($J6-($K6+$O6)),
OR($J6="",$P6=""),""
)</f>
        <v>24</v>
      </c>
      <c r="T6" s="152" cm="1">
        <f t="array" ref="T6">_xlfn.IFS(
$F6="Yes",2*$P6,
OR($F6="",$H6="",$I6="",$P6=""),"",
$F6="No",MAX(($P6/$H6)*($H6-($I6+$N6)),8*($H6-($I6+$N6)))
)</f>
        <v>30.4</v>
      </c>
      <c r="U6" s="31">
        <f t="shared" si="0"/>
        <v>3</v>
      </c>
      <c r="V6" s="31" t="str" cm="1">
        <f t="array" ref="V6">_xlfn.IFS(
$C6="Two-way","0",
$C6="One-way",4*($L6-$I6),
OR($C6="",$I6="",$L6=""),""
)</f>
        <v>0</v>
      </c>
      <c r="W6" s="155" cm="1">
        <f t="array" ref="W6">_xlfn.IFS(
$C6="One-Way","0",
$F6="Yes",2*$P6,
OR($C6="",$J6="",$K6="",$P6=""),"",
$F6="No",MAX(($P6/$J6)*($J6-($K6+$O6)),8*($J6-($K6+$O6)))
)</f>
        <v>24</v>
      </c>
      <c r="X6" s="156" t="str">
        <f>IF(
OR($C6="",$F6=""),"",
INDEX('Lr for AADT'!$B$15:$C$16,MATCH(C6,'Lr for AADT'!$A$15:$A$16,0),MATCH(F6,'Lr for AADT'!$B$14:$C$14,0))
)</f>
        <v>X1 + W + X2</v>
      </c>
      <c r="Y6" s="190">
        <f t="shared" si="1"/>
        <v>57.4</v>
      </c>
    </row>
    <row r="7" spans="1:25" x14ac:dyDescent="0.25">
      <c r="A7" s="209">
        <v>4</v>
      </c>
      <c r="B7" s="205"/>
      <c r="C7" s="150" t="s">
        <v>129</v>
      </c>
      <c r="D7" s="150">
        <v>100</v>
      </c>
      <c r="E7" s="149" t="s">
        <v>130</v>
      </c>
      <c r="F7" s="149" t="s">
        <v>133</v>
      </c>
      <c r="G7" s="149" t="s">
        <v>131</v>
      </c>
      <c r="H7" s="149"/>
      <c r="I7" s="149"/>
      <c r="J7" s="149"/>
      <c r="K7" s="149"/>
      <c r="L7" s="149"/>
      <c r="M7" s="149">
        <v>2</v>
      </c>
      <c r="N7" s="149"/>
      <c r="O7" s="151"/>
      <c r="P7" s="153">
        <f>IF(
OR($C7="",$D7="",$E7=""),"",
INDEX('Lr for AADT'!$B$3:$E$9,MATCH($D7,'Lr for AADT'!$A$3:$A$9,0),MATCH($E7,'Lr for AADT'!$B$2:$E$2,0))
)</f>
        <v>76</v>
      </c>
      <c r="Q7" s="121" t="str" cm="1">
        <f t="array" ref="Q7">_xlfn.IFS(
$F7="Yes","0",
OR($H7="",$P7=""),"",
$F7="No",($H7/$P7)
)</f>
        <v>0</v>
      </c>
      <c r="R7" s="120" cm="1">
        <f t="array" ref="R7">_xlfn.IFS(
$F7="Yes",2*$P7,
OR($F7="",$H7="",$I7="",$P7=""),"",
$F7="No",8*($H7-($I7+$N7))
)</f>
        <v>152</v>
      </c>
      <c r="S7" s="154" cm="1">
        <f t="array" ref="S7">_xlfn.IFS(
$C7="One-way","0",
$C7="Two-way",8*($J7-($K7+$O7)),
OR($J7="",$P7=""),""
)</f>
        <v>0</v>
      </c>
      <c r="T7" s="152" cm="1">
        <f t="array" ref="T7">_xlfn.IFS(
$F7="Yes",2*$P7,
OR($F7="",$H7="",$I7="",$P7=""),"",
$F7="No",MAX(($P7/$H7)*($H7-($I7+$N7)),8*($H7-($I7+$N7)))
)</f>
        <v>152</v>
      </c>
      <c r="U7" s="31">
        <f t="shared" si="0"/>
        <v>2</v>
      </c>
      <c r="V7" s="31" t="str" cm="1">
        <f t="array" ref="V7">_xlfn.IFS(
$C7="Two-way","0",
$C7="One-way",4*($L7-$I7),
OR($C7="",$I7="",$L7=""),""
)</f>
        <v>0</v>
      </c>
      <c r="W7" s="155" cm="1">
        <f t="array" ref="W7">_xlfn.IFS(
$C7="One-Way","0",
$F7="Yes",2*$P7,
OR($C7="",$J7="",$K7="",$P7=""),"",
$F7="No",MAX(($P7/$J7)*($J7-($K7+$O7)),8*($J7-($K7+$O7)))
)</f>
        <v>152</v>
      </c>
      <c r="X7" s="156" t="str">
        <f>IF(
OR($C7="",$F7=""),"",
INDEX('Lr for AADT'!$B$15:$C$16,MATCH(C7,'Lr for AADT'!$A$15:$A$16,0),MATCH(F7,'Lr for AADT'!$B$14:$C$14,0))
)</f>
        <v>2LR + W + 2LR</v>
      </c>
      <c r="Y7" s="190">
        <f>IF(OR($P7="",$T7="",$U7="",$V7="",$W7=""),"",(T7+U7-V7+W7))</f>
        <v>306</v>
      </c>
    </row>
    <row r="8" spans="1:25" x14ac:dyDescent="0.25">
      <c r="A8" s="209">
        <v>5</v>
      </c>
      <c r="B8" s="205"/>
      <c r="C8" s="150" t="s">
        <v>132</v>
      </c>
      <c r="D8" s="149">
        <v>100</v>
      </c>
      <c r="E8" s="149" t="s">
        <v>130</v>
      </c>
      <c r="F8" s="149" t="s">
        <v>131</v>
      </c>
      <c r="G8" s="149" t="s">
        <v>131</v>
      </c>
      <c r="H8" s="149">
        <v>6</v>
      </c>
      <c r="I8" s="149">
        <v>3</v>
      </c>
      <c r="J8" s="149"/>
      <c r="K8" s="149"/>
      <c r="L8" s="149">
        <v>4</v>
      </c>
      <c r="M8" s="149">
        <v>5</v>
      </c>
      <c r="N8" s="149"/>
      <c r="O8" s="151"/>
      <c r="P8" s="153">
        <f>IF(
OR($C8="",$D8="",$E8=""),"",
INDEX('Lr for AADT'!$B$3:$E$9,MATCH($D8,'Lr for AADT'!$A$3:$A$9,0),MATCH($E8,'Lr for AADT'!$B$2:$E$2,0))
)</f>
        <v>76</v>
      </c>
      <c r="Q8" s="121" cm="1">
        <f t="array" ref="Q8">_xlfn.IFS(
$F8="Yes","0",
OR($H8="",$P8=""),"",
$F8="No",($H8/$P8)
)</f>
        <v>7.8947368421052627E-2</v>
      </c>
      <c r="R8" s="120" cm="1">
        <f t="array" ref="R8">_xlfn.IFS(
$F8="Yes",2*$P8,
OR($F8="",$H8="",$I8="",$P8=""),"",
$F8="No",8*($H8-($I8+$N8))
)</f>
        <v>24</v>
      </c>
      <c r="S8" s="154" t="str" cm="1">
        <f t="array" ref="S8">_xlfn.IFS(
$C8="One-way","0",
$C8="Two-way",8*($J8-($K8+$O8)),
OR($J8="",$P8=""),""
)</f>
        <v>0</v>
      </c>
      <c r="T8" s="152" cm="1">
        <f t="array" ref="T8">_xlfn.IFS(
$F8="Yes",2*$P8,
OR($F8="",$H8="",$I8="",$P8=""),"",
$F8="No",MAX(($P8/$H8)*($H8-($I8+$N8)),8*($H8-($I8+$N8)))
)</f>
        <v>38</v>
      </c>
      <c r="U8" s="31">
        <f t="shared" si="0"/>
        <v>5</v>
      </c>
      <c r="V8" s="31" cm="1">
        <f t="array" ref="V8">_xlfn.IFS(
$C8="Two-way","0",
$C8="One-way",4*($L8-$I8),
OR($C8="",$I8="",$L8=""),""
)</f>
        <v>4</v>
      </c>
      <c r="W8" s="155" t="str" cm="1">
        <f t="array" ref="W8">_xlfn.IFS(
$C8="One-Way","0",
$F8="Yes",2*$P8,
OR($C8="",$J8="",$K8="",$P8=""),"",
$F8="No",MAX(($P8/$J8)*($J8-($K8+$O8)),8*($J8-($K8+$O8)))
)</f>
        <v>0</v>
      </c>
      <c r="X8" s="156" t="str">
        <f>IF(
OR($C8="",$F8=""),"",
INDEX('Lr for AADT'!$B$15:$C$16,MATCH(C8,'Lr for AADT'!$A$15:$A$16,0),MATCH(F8,'Lr for AADT'!$B$14:$C$14,0))
)</f>
        <v>X1 + W - Z</v>
      </c>
      <c r="Y8" s="190">
        <f t="shared" ref="Y8:Y23" si="2">IF(OR($P8="",$T8="",$U8="",$V8="",$W8=""),"",(T8+U8-V8+W8))</f>
        <v>39</v>
      </c>
    </row>
    <row r="9" spans="1:25" x14ac:dyDescent="0.25">
      <c r="A9" s="209">
        <v>6</v>
      </c>
      <c r="B9" s="205"/>
      <c r="C9" s="150" t="s">
        <v>129</v>
      </c>
      <c r="D9" s="150">
        <v>100</v>
      </c>
      <c r="E9" s="149" t="s">
        <v>130</v>
      </c>
      <c r="F9" s="149" t="s">
        <v>131</v>
      </c>
      <c r="G9" s="149" t="s">
        <v>131</v>
      </c>
      <c r="H9" s="149">
        <v>6</v>
      </c>
      <c r="I9" s="149">
        <v>3</v>
      </c>
      <c r="J9" s="149">
        <v>13</v>
      </c>
      <c r="K9" s="149">
        <v>10</v>
      </c>
      <c r="L9" s="149"/>
      <c r="M9" s="149">
        <v>8</v>
      </c>
      <c r="N9" s="149"/>
      <c r="O9" s="151"/>
      <c r="P9" s="153">
        <f>IF(
OR($C9="",$D9="",$E9=""),"",
INDEX('Lr for AADT'!$B$3:$E$9,MATCH($D9,'Lr for AADT'!$A$3:$A$9,0),MATCH($E9,'Lr for AADT'!$B$2:$E$2,0))
)</f>
        <v>76</v>
      </c>
      <c r="Q9" s="121" cm="1">
        <f t="array" ref="Q9">_xlfn.IFS(
$F9="Yes","0",
OR($H9="",$P9=""),"",
$F9="No",($H9/$P9)
)</f>
        <v>7.8947368421052627E-2</v>
      </c>
      <c r="R9" s="120" cm="1">
        <f t="array" ref="R9">_xlfn.IFS(
$F9="Yes",2*$P9,
OR($F9="",$H9="",$I9="",$P9=""),"",
$F9="No",8*($H9-($I9+$N9))
)</f>
        <v>24</v>
      </c>
      <c r="S9" s="154" cm="1">
        <f t="array" ref="S9">_xlfn.IFS(
$C9="One-way","0",
$C9="Two-way",8*($J9-($K9+$O9)),
OR($J9="",$P9=""),""
)</f>
        <v>24</v>
      </c>
      <c r="T9" s="152" cm="1">
        <f t="array" ref="T9">_xlfn.IFS(
$F9="Yes",2*$P9,
OR($F9="",$H9="",$I9="",$P9=""),"",
$F9="No",MAX(($P9/$H9)*($H9-($I9+$N9)),8*($H9-($I9+$N9)))
)</f>
        <v>38</v>
      </c>
      <c r="U9" s="31">
        <f t="shared" si="0"/>
        <v>8</v>
      </c>
      <c r="V9" s="31" t="str" cm="1">
        <f t="array" ref="V9">_xlfn.IFS(
$C9="Two-way","0",
$C9="One-way",4*($L9-$I9),
OR($C9="",$I9="",$L9=""),""
)</f>
        <v>0</v>
      </c>
      <c r="W9" s="155" cm="1">
        <f t="array" ref="W9">_xlfn.IFS(
$C9="One-Way","0",
$F9="Yes",2*$P9,
OR($C9="",$J9="",$K9="",$P9=""),"",
$F9="No",MAX(($P9/$J9)*($J9-($K9+$O9)),8*($J9-($K9+$O9)))
)</f>
        <v>24</v>
      </c>
      <c r="X9" s="156" t="str">
        <f>IF(
OR($C9="",$F9=""),"",
INDEX('Lr for AADT'!$B$15:$C$16,MATCH(C9,'Lr for AADT'!$A$15:$A$16,0),MATCH(F9,'Lr for AADT'!$B$14:$C$14,0))
)</f>
        <v>X1 + W + X2</v>
      </c>
      <c r="Y9" s="190">
        <f t="shared" si="2"/>
        <v>70</v>
      </c>
    </row>
    <row r="10" spans="1:25" x14ac:dyDescent="0.25">
      <c r="A10" s="209">
        <v>7</v>
      </c>
      <c r="B10" s="205"/>
      <c r="C10" s="150"/>
      <c r="D10" s="149"/>
      <c r="E10" s="149"/>
      <c r="F10" s="149"/>
      <c r="G10" s="149"/>
      <c r="H10" s="149"/>
      <c r="I10" s="149"/>
      <c r="J10" s="149"/>
      <c r="K10" s="149"/>
      <c r="L10" s="149"/>
      <c r="M10" s="149"/>
      <c r="N10" s="149"/>
      <c r="O10" s="151"/>
      <c r="P10" s="153" t="str">
        <f>IF(
OR($C10="",$D10="",$E10=""),"",
INDEX('Lr for AADT'!$B$3:$E$9,MATCH($D10,'Lr for AADT'!$A$3:$A$9,0),MATCH($E10,'Lr for AADT'!$B$2:$E$2,0))
)</f>
        <v/>
      </c>
      <c r="Q10" s="121" t="str" cm="1">
        <f t="array" ref="Q10">_xlfn.IFS(
$F10="Yes","0",
OR($H10="",$P10=""),"",
$F10="No",($H10/$P10)
)</f>
        <v/>
      </c>
      <c r="R10" s="120" t="str" cm="1">
        <f t="array" ref="R10">_xlfn.IFS(
$F10="Yes",2*$P10,
OR($F10="",$H10="",$I10="",$P10=""),"",
$F10="No",8*($H10-($I10+$N10))
)</f>
        <v/>
      </c>
      <c r="S10" s="154" t="str" cm="1">
        <f t="array" ref="S10">_xlfn.IFS(
$C10="One-way","0",
$C10="Two-way",8*($J10-($K10+$O10)),
OR($J10="",$P10=""),""
)</f>
        <v/>
      </c>
      <c r="T10" s="152" t="str" cm="1">
        <f t="array" ref="T10">_xlfn.IFS(
$F10="Yes",2*$P10,
OR($F10="",$H10="",$I10="",$P10=""),"",
$F10="No",MAX(($P10/$H10)*($H10-($I10+$N10)),8*($H10-($I10+$N10)))
)</f>
        <v/>
      </c>
      <c r="U10" s="31" t="str">
        <f t="shared" si="0"/>
        <v/>
      </c>
      <c r="V10" s="31" t="str" cm="1">
        <f t="array" ref="V10">_xlfn.IFS(
$C10="Two-way","0",
$C10="One-way",4*($L10-$I10),
OR($C10="",$I10="",$L10=""),""
)</f>
        <v/>
      </c>
      <c r="W10" s="155" t="str" cm="1">
        <f t="array" ref="W10">_xlfn.IFS(
$C10="One-Way","0",
$F10="Yes",2*$P10,
OR($C10="",$J10="",$K10="",$P10=""),"",
$F10="No",MAX(($P10/$J10)*($J10-($K10+$O10)),8*($J10-($K10+$O10)))
)</f>
        <v/>
      </c>
      <c r="X10" s="156" t="str">
        <f>IF(
OR($C10="",$F10=""),"",
INDEX('Lr for AADT'!$B$15:$C$16,MATCH(C10,'Lr for AADT'!$A$15:$A$16,0),MATCH(F10,'Lr for AADT'!$B$14:$C$14,0))
)</f>
        <v/>
      </c>
      <c r="Y10" s="190" t="str">
        <f t="shared" si="2"/>
        <v/>
      </c>
    </row>
    <row r="11" spans="1:25" x14ac:dyDescent="0.25">
      <c r="A11" s="209">
        <v>8</v>
      </c>
      <c r="B11" s="205"/>
      <c r="C11" s="150"/>
      <c r="D11" s="150"/>
      <c r="E11" s="149"/>
      <c r="F11" s="149"/>
      <c r="G11" s="149"/>
      <c r="H11" s="149"/>
      <c r="I11" s="149"/>
      <c r="J11" s="149"/>
      <c r="K11" s="149"/>
      <c r="L11" s="149"/>
      <c r="M11" s="149"/>
      <c r="N11" s="149"/>
      <c r="O11" s="151"/>
      <c r="P11" s="153" t="str">
        <f>IF(
OR($C11="",$D11="",$E11=""),"",
INDEX('Lr for AADT'!$B$3:$E$9,MATCH($D11,'Lr for AADT'!$A$3:$A$9,0),MATCH($E11,'Lr for AADT'!$B$2:$E$2,0))
)</f>
        <v/>
      </c>
      <c r="Q11" s="121" t="str" cm="1">
        <f t="array" ref="Q11">_xlfn.IFS(
$F11="Yes","0",
OR($H11="",$P11=""),"",
$F11="No",($H11/$P11)
)</f>
        <v/>
      </c>
      <c r="R11" s="120" t="str" cm="1">
        <f t="array" ref="R11">_xlfn.IFS(
$F11="Yes",2*$P11,
OR($F11="",$H11="",$I11="",$P11=""),"",
$F11="No",8*($H11-($I11+$N11))
)</f>
        <v/>
      </c>
      <c r="S11" s="154" t="str" cm="1">
        <f t="array" ref="S11">_xlfn.IFS(
$C11="One-way","0",
$C11="Two-way",8*($J11-($K11+$O11)),
OR($J11="",$P11=""),""
)</f>
        <v/>
      </c>
      <c r="T11" s="152" t="str" cm="1">
        <f t="array" ref="T11">_xlfn.IFS(
$F11="Yes",2*$P11,
OR($F11="",$H11="",$I11="",$P11=""),"",
$F11="No",MAX(($P11/$H11)*($H11-($I11+$N11)),8*($H11-($I11+$N11)))
)</f>
        <v/>
      </c>
      <c r="U11" s="31" t="str">
        <f t="shared" si="0"/>
        <v/>
      </c>
      <c r="V11" s="31" t="str" cm="1">
        <f t="array" ref="V11">_xlfn.IFS(
$C11="Two-way","0",
$C11="One-way",4*($L11-$I11),
OR($C11="",$I11="",$L11=""),""
)</f>
        <v/>
      </c>
      <c r="W11" s="155" t="str" cm="1">
        <f t="array" ref="W11">_xlfn.IFS(
$C11="One-Way","0",
$F11="Yes",2*$P11,
OR($C11="",$J11="",$K11="",$P11=""),"",
$F11="No",MAX(($P11/$J11)*($J11-($K11+$O11)),8*($J11-($K11+$O11)))
)</f>
        <v/>
      </c>
      <c r="X11" s="156" t="str">
        <f>IF(
OR($C11="",$F11=""),"",
INDEX('Lr for AADT'!$B$15:$C$16,MATCH(C11,'Lr for AADT'!$A$15:$A$16,0),MATCH(F11,'Lr for AADT'!$B$14:$C$14,0))
)</f>
        <v/>
      </c>
      <c r="Y11" s="190" t="str">
        <f t="shared" si="2"/>
        <v/>
      </c>
    </row>
    <row r="12" spans="1:25" x14ac:dyDescent="0.25">
      <c r="A12" s="209">
        <v>9</v>
      </c>
      <c r="B12" s="205"/>
      <c r="C12" s="150"/>
      <c r="D12" s="150"/>
      <c r="E12" s="150"/>
      <c r="F12" s="150"/>
      <c r="G12" s="150"/>
      <c r="H12" s="149"/>
      <c r="I12" s="149"/>
      <c r="J12" s="149"/>
      <c r="K12" s="149"/>
      <c r="L12" s="149"/>
      <c r="M12" s="149"/>
      <c r="N12" s="149"/>
      <c r="O12" s="151"/>
      <c r="P12" s="153" t="str">
        <f>IF(
OR($C12="",$D12="",$E12=""),"",
INDEX('Lr for AADT'!$B$3:$E$9,MATCH($D12,'Lr for AADT'!$A$3:$A$9,0),MATCH($E12,'Lr for AADT'!$B$2:$E$2,0))
)</f>
        <v/>
      </c>
      <c r="Q12" s="121" t="str" cm="1">
        <f t="array" ref="Q12">_xlfn.IFS(
$F12="Yes","0",
OR($H12="",$P12=""),"",
$F12="No",($H12/$P12)
)</f>
        <v/>
      </c>
      <c r="R12" s="120" t="str" cm="1">
        <f t="array" ref="R12">_xlfn.IFS(
$F12="Yes",2*$P12,
OR($F12="",$H12="",$I12="",$P12=""),"",
$F12="No",8*($H12-($I12+$N12))
)</f>
        <v/>
      </c>
      <c r="S12" s="154" t="str" cm="1">
        <f t="array" ref="S12">_xlfn.IFS(
$C12="One-way","0",
$C12="Two-way",8*($J12-($K12+$O12)),
OR($J12="",$P12=""),""
)</f>
        <v/>
      </c>
      <c r="T12" s="152" t="str" cm="1">
        <f t="array" ref="T12">_xlfn.IFS(
$F12="Yes",2*$P12,
OR($F12="",$H12="",$I12="",$P12=""),"",
$F12="No",MAX(($P12/$H12)*($H12-($I12+$N12)),8*($H12-($I12+$N12)))
)</f>
        <v/>
      </c>
      <c r="U12" s="31" t="str">
        <f t="shared" ref="U12:U23" si="3">IF($M12="","",$M12)</f>
        <v/>
      </c>
      <c r="V12" s="31" t="str" cm="1">
        <f t="array" ref="V12">_xlfn.IFS(
$C12="Two-way","0",
$C12="One-way",4*($L12-$I12),
OR($C12="",$I12="",$L12=""),""
)</f>
        <v/>
      </c>
      <c r="W12" s="155" t="str" cm="1">
        <f t="array" ref="W12">_xlfn.IFS(
$C12="One-Way","0",
$F12="Yes",2*$P12,
OR($C12="",$J12="",$K12="",$P12=""),"",
$F12="No",MAX(($P12/$J12)*($J12-($K12+$O12)),8*($J12-($K12+$O12)))
)</f>
        <v/>
      </c>
      <c r="X12" s="156" t="str">
        <f>IF(
OR($C12="",$F12=""),"",
INDEX('Lr for AADT'!$B$15:$C$16,MATCH(C12,'Lr for AADT'!$A$15:$A$16,0),MATCH(F12,'Lr for AADT'!$B$14:$C$14,0))
)</f>
        <v/>
      </c>
      <c r="Y12" s="190" t="str">
        <f t="shared" si="2"/>
        <v/>
      </c>
    </row>
    <row r="13" spans="1:25" x14ac:dyDescent="0.25">
      <c r="A13" s="209">
        <v>10</v>
      </c>
      <c r="B13" s="206"/>
      <c r="C13" s="150"/>
      <c r="D13" s="150"/>
      <c r="E13" s="150"/>
      <c r="F13" s="150"/>
      <c r="G13" s="150"/>
      <c r="H13" s="150"/>
      <c r="I13" s="150"/>
      <c r="J13" s="149"/>
      <c r="K13" s="149"/>
      <c r="L13" s="150"/>
      <c r="M13" s="150"/>
      <c r="N13" s="149"/>
      <c r="O13" s="151"/>
      <c r="P13" s="153" t="str">
        <f>IF(
OR($C13="",$D13="",$E13=""),"",
INDEX('Lr for AADT'!$B$3:$E$9,MATCH($D13,'Lr for AADT'!$A$3:$A$9,0),MATCH($E13,'Lr for AADT'!$B$2:$E$2,0))
)</f>
        <v/>
      </c>
      <c r="Q13" s="121" t="str" cm="1">
        <f t="array" ref="Q13">_xlfn.IFS(
$F13="Yes","0",
OR($H13="",$P13=""),"",
$F13="No",($H13/$P13)
)</f>
        <v/>
      </c>
      <c r="R13" s="120" t="str" cm="1">
        <f t="array" ref="R13">_xlfn.IFS(
$F13="Yes",2*$P13,
OR($F13="",$H13="",$I13="",$P13=""),"",
$F13="No",8*($H13-($I13+$N13))
)</f>
        <v/>
      </c>
      <c r="S13" s="154" t="str" cm="1">
        <f t="array" ref="S13">_xlfn.IFS(
$C13="One-way","0",
$C13="Two-way",8*($J13-($K13+$O13)),
OR($J13="",$P13=""),""
)</f>
        <v/>
      </c>
      <c r="T13" s="152" t="str" cm="1">
        <f t="array" ref="T13">_xlfn.IFS(
$F13="Yes",2*$P13,
OR($F13="",$H13="",$I13="",$P13=""),"",
$F13="No",MAX(($P13/$H13)*($H13-($I13+$N13)),8*($H13-($I13+$N13)))
)</f>
        <v/>
      </c>
      <c r="U13" s="31" t="str">
        <f>IF($M13="","",$M13)</f>
        <v/>
      </c>
      <c r="V13" s="31" t="str" cm="1">
        <f t="array" ref="V13">_xlfn.IFS(
$C13="Two-way","0",
$C13="One-way",4*($L13-$I13),
OR($C13="",$I13="",$L13=""),""
)</f>
        <v/>
      </c>
      <c r="W13" s="155" t="str" cm="1">
        <f t="array" ref="W13">_xlfn.IFS(
$C13="One-Way","0",
$F13="Yes",2*$P13,
OR($C13="",$J13="",$K13="",$P13=""),"",
$F13="No",MAX(($P13/$J13)*($J13-($K13+$O13)),8*($J13-($K13+$O13)))
)</f>
        <v/>
      </c>
      <c r="X13" s="156" t="str">
        <f>IF(
OR($C13="",$F13=""),"",
INDEX('Lr for AADT'!$B$15:$C$16,MATCH(C13,'Lr for AADT'!$A$15:$A$16,0),MATCH(F13,'Lr for AADT'!$B$14:$C$14,0))
)</f>
        <v/>
      </c>
      <c r="Y13" s="190" t="str">
        <f t="shared" si="2"/>
        <v/>
      </c>
    </row>
    <row r="14" spans="1:25" x14ac:dyDescent="0.25">
      <c r="A14" s="209">
        <v>11</v>
      </c>
      <c r="B14" s="206"/>
      <c r="C14" s="150"/>
      <c r="D14" s="150"/>
      <c r="E14" s="150"/>
      <c r="F14" s="150"/>
      <c r="G14" s="150"/>
      <c r="H14" s="150"/>
      <c r="I14" s="150"/>
      <c r="J14" s="149"/>
      <c r="K14" s="149"/>
      <c r="L14" s="150"/>
      <c r="M14" s="150"/>
      <c r="N14" s="149"/>
      <c r="O14" s="151"/>
      <c r="P14" s="153" t="str">
        <f>IF(
OR($C14="",$D14="",$E14=""),"",
INDEX('Lr for AADT'!$B$3:$E$9,MATCH($D14,'Lr for AADT'!$A$3:$A$9,0),MATCH($E14,'Lr for AADT'!$B$2:$E$2,0))
)</f>
        <v/>
      </c>
      <c r="Q14" s="121" t="str" cm="1">
        <f t="array" ref="Q14">_xlfn.IFS(
$F14="Yes","0",
OR($H14="",$P14=""),"",
$F14="No",($H14/$P14)
)</f>
        <v/>
      </c>
      <c r="R14" s="120" t="str" cm="1">
        <f t="array" ref="R14">_xlfn.IFS(
$F14="Yes",2*$P14,
OR($F14="",$H14="",$I14="",$P14=""),"",
$F14="No",8*($H14-($I14+$N14))
)</f>
        <v/>
      </c>
      <c r="S14" s="154" t="str" cm="1">
        <f t="array" ref="S14">_xlfn.IFS(
$C14="One-way","0",
$C14="Two-way",8*($J14-($K14+$O14)),
OR($J14="",$P14=""),""
)</f>
        <v/>
      </c>
      <c r="T14" s="152" t="str" cm="1">
        <f t="array" ref="T14">_xlfn.IFS(
$F14="Yes",2*$P14,
OR($F14="",$H14="",$I14="",$P14=""),"",
$F14="No",MAX(($P14/$H14)*($H14-($I14+$N14)),8*($H14-($I14+$N14)))
)</f>
        <v/>
      </c>
      <c r="U14" s="31" t="str">
        <f t="shared" si="3"/>
        <v/>
      </c>
      <c r="V14" s="31" t="str" cm="1">
        <f t="array" ref="V14">_xlfn.IFS(
$C14="Two-way","0",
$C14="One-way",4*($L14-$I14),
OR($C14="",$I14="",$L14=""),""
)</f>
        <v/>
      </c>
      <c r="W14" s="155" t="str" cm="1">
        <f t="array" ref="W14">_xlfn.IFS(
$C14="One-Way","0",
$F14="Yes",2*$P14,
OR($C14="",$J14="",$K14="",$P14=""),"",
$F14="No",MAX(($P14/$J14)*($J14-($K14+$O14)),8*($J14-($K14+$O14)))
)</f>
        <v/>
      </c>
      <c r="X14" s="156" t="str">
        <f>IF(
OR($C14="",$F14=""),"",
INDEX('Lr for AADT'!$B$15:$C$16,MATCH(C14,'Lr for AADT'!$A$15:$A$16,0),MATCH(F14,'Lr for AADT'!$B$14:$C$14,0))
)</f>
        <v/>
      </c>
      <c r="Y14" s="190" t="str">
        <f t="shared" si="2"/>
        <v/>
      </c>
    </row>
    <row r="15" spans="1:25" x14ac:dyDescent="0.25">
      <c r="A15" s="209">
        <v>12</v>
      </c>
      <c r="B15" s="206"/>
      <c r="C15" s="150"/>
      <c r="D15" s="150"/>
      <c r="E15" s="150"/>
      <c r="F15" s="150"/>
      <c r="G15" s="150"/>
      <c r="H15" s="150"/>
      <c r="I15" s="150"/>
      <c r="J15" s="149"/>
      <c r="K15" s="149"/>
      <c r="L15" s="150"/>
      <c r="M15" s="150"/>
      <c r="N15" s="149"/>
      <c r="O15" s="151"/>
      <c r="P15" s="153" t="str">
        <f>IF(
OR($C15="",$D15="",$E15=""),"",
INDEX('Lr for AADT'!$B$3:$E$9,MATCH($D15,'Lr for AADT'!$A$3:$A$9,0),MATCH($E15,'Lr for AADT'!$B$2:$E$2,0))
)</f>
        <v/>
      </c>
      <c r="Q15" s="121" t="str" cm="1">
        <f t="array" ref="Q15">_xlfn.IFS(
$F15="Yes","0",
OR($H15="",$P15=""),"",
$F15="No",($H15/$P15)
)</f>
        <v/>
      </c>
      <c r="R15" s="120" t="str" cm="1">
        <f t="array" ref="R15">_xlfn.IFS(
$F15="Yes",2*$P15,
OR($F15="",$H15="",$I15="",$P15=""),"",
$F15="No",8*($H15-($I15+$N15))
)</f>
        <v/>
      </c>
      <c r="S15" s="154" t="str" cm="1">
        <f t="array" ref="S15">_xlfn.IFS(
$C15="One-way","0",
$C15="Two-way",8*($J15-($K15+$O15)),
OR($J15="",$P15=""),""
)</f>
        <v/>
      </c>
      <c r="T15" s="152" t="str" cm="1">
        <f t="array" ref="T15">_xlfn.IFS(
$F15="Yes",2*$P15,
OR($F15="",$H15="",$I15="",$P15=""),"",
$F15="No",MAX(($P15/$H15)*($H15-($I15+$N15)),8*($H15-($I15+$N15)))
)</f>
        <v/>
      </c>
      <c r="U15" s="31" t="str">
        <f t="shared" si="3"/>
        <v/>
      </c>
      <c r="V15" s="31" t="str" cm="1">
        <f t="array" ref="V15">_xlfn.IFS(
$C15="Two-way","0",
$C15="One-way",4*($L15-$I15),
OR($C15="",$I15="",$L15=""),""
)</f>
        <v/>
      </c>
      <c r="W15" s="155" t="str" cm="1">
        <f t="array" ref="W15">_xlfn.IFS(
$C15="One-Way","0",
$F15="Yes",2*$P15,
OR($C15="",$J15="",$K15="",$P15=""),"",
$F15="No",MAX(($P15/$J15)*($J15-($K15+$O15)),8*($J15-($K15+$O15)))
)</f>
        <v/>
      </c>
      <c r="X15" s="156" t="str">
        <f>IF(
OR($C15="",$F15=""),"",
INDEX('Lr for AADT'!$B$15:$C$16,MATCH(C15,'Lr for AADT'!$A$15:$A$16,0),MATCH(F15,'Lr for AADT'!$B$14:$C$14,0))
)</f>
        <v/>
      </c>
      <c r="Y15" s="190" t="str">
        <f t="shared" si="2"/>
        <v/>
      </c>
    </row>
    <row r="16" spans="1:25" x14ac:dyDescent="0.25">
      <c r="A16" s="209">
        <v>13</v>
      </c>
      <c r="B16" s="206"/>
      <c r="C16" s="150"/>
      <c r="D16" s="150"/>
      <c r="E16" s="150"/>
      <c r="F16" s="150"/>
      <c r="G16" s="150"/>
      <c r="H16" s="150"/>
      <c r="I16" s="150"/>
      <c r="J16" s="149"/>
      <c r="K16" s="149"/>
      <c r="L16" s="150"/>
      <c r="M16" s="150"/>
      <c r="N16" s="149"/>
      <c r="O16" s="151"/>
      <c r="P16" s="153" t="str">
        <f>IF(
OR($C16="",$D16="",$E16=""),"",
INDEX('Lr for AADT'!$B$3:$E$9,MATCH($D16,'Lr for AADT'!$A$3:$A$9,0),MATCH($E16,'Lr for AADT'!$B$2:$E$2,0))
)</f>
        <v/>
      </c>
      <c r="Q16" s="121" t="str" cm="1">
        <f t="array" ref="Q16">_xlfn.IFS(
$F16="Yes","0",
OR($H16="",$P16=""),"",
$F16="No",($H16/$P16)
)</f>
        <v/>
      </c>
      <c r="R16" s="120" t="str" cm="1">
        <f t="array" ref="R16">_xlfn.IFS(
$F16="Yes",2*$P16,
OR($F16="",$H16="",$I16="",$P16=""),"",
$F16="No",8*($H16-($I16+$N16))
)</f>
        <v/>
      </c>
      <c r="S16" s="154" t="str" cm="1">
        <f t="array" ref="S16">_xlfn.IFS(
$C16="One-way","0",
$C16="Two-way",8*($J16-($K16+$O16)),
OR($J16="",$P16=""),""
)</f>
        <v/>
      </c>
      <c r="T16" s="152" t="str" cm="1">
        <f t="array" ref="T16">_xlfn.IFS(
$F16="Yes",2*$P16,
OR($F16="",$H16="",$I16="",$P16=""),"",
$F16="No",MAX(($P16/$H16)*($H16-($I16+$N16)),8*($H16-($I16+$N16)))
)</f>
        <v/>
      </c>
      <c r="U16" s="31" t="str">
        <f t="shared" si="3"/>
        <v/>
      </c>
      <c r="V16" s="31" t="str" cm="1">
        <f t="array" ref="V16">_xlfn.IFS(
$C16="Two-way","0",
$C16="One-way",4*($L16-$I16),
OR($C16="",$I16="",$L16=""),""
)</f>
        <v/>
      </c>
      <c r="W16" s="155" t="str" cm="1">
        <f t="array" ref="W16">_xlfn.IFS(
$C16="One-Way","0",
$F16="Yes",2*$P16,
OR($C16="",$J16="",$K16="",$P16=""),"",
$F16="No",MAX(($P16/$J16)*($J16-($K16+$O16)),8*($J16-($K16+$O16)))
)</f>
        <v/>
      </c>
      <c r="X16" s="156" t="str">
        <f>IF(
OR($C16="",$F16=""),"",
INDEX('Lr for AADT'!$B$15:$C$16,MATCH(C16,'Lr for AADT'!$A$15:$A$16,0),MATCH(F16,'Lr for AADT'!$B$14:$C$14,0))
)</f>
        <v/>
      </c>
      <c r="Y16" s="190" t="str">
        <f t="shared" si="2"/>
        <v/>
      </c>
    </row>
    <row r="17" spans="1:25" x14ac:dyDescent="0.25">
      <c r="A17" s="209">
        <v>14</v>
      </c>
      <c r="B17" s="206"/>
      <c r="C17" s="150"/>
      <c r="D17" s="150"/>
      <c r="E17" s="150"/>
      <c r="F17" s="150"/>
      <c r="G17" s="150"/>
      <c r="H17" s="150"/>
      <c r="I17" s="150"/>
      <c r="J17" s="149"/>
      <c r="K17" s="149"/>
      <c r="L17" s="150"/>
      <c r="M17" s="150"/>
      <c r="N17" s="149"/>
      <c r="O17" s="151"/>
      <c r="P17" s="153" t="str">
        <f>IF(
OR($C17="",$D17="",$E17=""),"",
INDEX('Lr for AADT'!$B$3:$E$9,MATCH($D17,'Lr for AADT'!$A$3:$A$9,0),MATCH($E17,'Lr for AADT'!$B$2:$E$2,0))
)</f>
        <v/>
      </c>
      <c r="Q17" s="121" t="str" cm="1">
        <f t="array" ref="Q17">_xlfn.IFS(
$F17="Yes","0",
OR($H17="",$P17=""),"",
$F17="No",($H17/$P17)
)</f>
        <v/>
      </c>
      <c r="R17" s="120" t="str" cm="1">
        <f t="array" ref="R17">_xlfn.IFS(
$F17="Yes",2*$P17,
OR($F17="",$H17="",$I17="",$P17=""),"",
$F17="No",8*($H17-($I17+$N17))
)</f>
        <v/>
      </c>
      <c r="S17" s="154" t="str" cm="1">
        <f t="array" ref="S17">_xlfn.IFS(
$C17="One-way","0",
$C17="Two-way",8*($J17-($K17+$O17)),
OR($J17="",$P17=""),""
)</f>
        <v/>
      </c>
      <c r="T17" s="152" t="str" cm="1">
        <f t="array" ref="T17">_xlfn.IFS(
$F17="Yes",2*$P17,
OR($F17="",$H17="",$I17="",$P17=""),"",
$F17="No",MAX(($P17/$H17)*($H17-($I17+$N17)),8*($H17-($I17+$N17)))
)</f>
        <v/>
      </c>
      <c r="U17" s="31" t="str">
        <f t="shared" si="3"/>
        <v/>
      </c>
      <c r="V17" s="31" t="str" cm="1">
        <f t="array" ref="V17">_xlfn.IFS(
$C17="Two-way","0",
$C17="One-way",4*($L17-$I17),
OR($C17="",$I17="",$L17=""),""
)</f>
        <v/>
      </c>
      <c r="W17" s="155" t="str" cm="1">
        <f t="array" ref="W17">_xlfn.IFS(
$C17="One-Way","0",
$F17="Yes",2*$P17,
OR($C17="",$J17="",$K17="",$P17=""),"",
$F17="No",MAX(($P17/$J17)*($J17-($K17+$O17)),8*($J17-($K17+$O17)))
)</f>
        <v/>
      </c>
      <c r="X17" s="156" t="str">
        <f>IF(
OR($C17="",$F17=""),"",
INDEX('Lr for AADT'!$B$15:$C$16,MATCH(C17,'Lr for AADT'!$A$15:$A$16,0),MATCH(F17,'Lr for AADT'!$B$14:$C$14,0))
)</f>
        <v/>
      </c>
      <c r="Y17" s="190" t="str">
        <f t="shared" si="2"/>
        <v/>
      </c>
    </row>
    <row r="18" spans="1:25" x14ac:dyDescent="0.25">
      <c r="A18" s="209">
        <v>15</v>
      </c>
      <c r="B18" s="206"/>
      <c r="C18" s="150"/>
      <c r="D18" s="150"/>
      <c r="E18" s="150"/>
      <c r="F18" s="150"/>
      <c r="G18" s="150"/>
      <c r="H18" s="150"/>
      <c r="I18" s="150"/>
      <c r="J18" s="149"/>
      <c r="K18" s="149"/>
      <c r="L18" s="150"/>
      <c r="M18" s="150"/>
      <c r="N18" s="149"/>
      <c r="O18" s="151"/>
      <c r="P18" s="153" t="str">
        <f>IF(
OR($C18="",$D18="",$E18=""),"",
INDEX('Lr for AADT'!$B$3:$E$9,MATCH($D18,'Lr for AADT'!$A$3:$A$9,0),MATCH($E18,'Lr for AADT'!$B$2:$E$2,0))
)</f>
        <v/>
      </c>
      <c r="Q18" s="121" t="str" cm="1">
        <f t="array" ref="Q18">_xlfn.IFS(
$F18="Yes","0",
OR($H18="",$P18=""),"",
$F18="No",($H18/$P18)
)</f>
        <v/>
      </c>
      <c r="R18" s="120" t="str" cm="1">
        <f t="array" ref="R18">_xlfn.IFS(
$F18="Yes",2*$P18,
OR($F18="",$H18="",$I18="",$P18=""),"",
$F18="No",8*($H18-($I18+$N18))
)</f>
        <v/>
      </c>
      <c r="S18" s="154" t="str" cm="1">
        <f t="array" ref="S18">_xlfn.IFS(
$C18="One-way","0",
$C18="Two-way",8*($J18-($K18+$O18)),
OR($J18="",$P18=""),""
)</f>
        <v/>
      </c>
      <c r="T18" s="152" t="str" cm="1">
        <f t="array" ref="T18">_xlfn.IFS(
$F18="Yes",2*$P18,
OR($F18="",$H18="",$I18="",$P18=""),"",
$F18="No",MAX(($P18/$H18)*($H18-($I18+$N18)),8*($H18-($I18+$N18)))
)</f>
        <v/>
      </c>
      <c r="U18" s="31" t="str">
        <f t="shared" si="3"/>
        <v/>
      </c>
      <c r="V18" s="31" t="str" cm="1">
        <f t="array" ref="V18">_xlfn.IFS(
$C18="Two-way","0",
$C18="One-way",4*($L18-$I18),
OR($C18="",$I18="",$L18=""),""
)</f>
        <v/>
      </c>
      <c r="W18" s="155" t="str" cm="1">
        <f t="array" ref="W18">_xlfn.IFS(
$C18="One-Way","0",
$F18="Yes",2*$P18,
OR($C18="",$J18="",$K18="",$P18=""),"",
$F18="No",MAX(($P18/$J18)*($J18-($K18+$O18)),8*($J18-($K18+$O18)))
)</f>
        <v/>
      </c>
      <c r="X18" s="156" t="str">
        <f>IF(
OR($C18="",$F18=""),"",
INDEX('Lr for AADT'!$B$15:$C$16,MATCH(C18,'Lr for AADT'!$A$15:$A$16,0),MATCH(F18,'Lr for AADT'!$B$14:$C$14,0))
)</f>
        <v/>
      </c>
      <c r="Y18" s="190" t="str">
        <f t="shared" si="2"/>
        <v/>
      </c>
    </row>
    <row r="19" spans="1:25" x14ac:dyDescent="0.25">
      <c r="A19" s="209">
        <v>16</v>
      </c>
      <c r="B19" s="206"/>
      <c r="C19" s="150"/>
      <c r="D19" s="150"/>
      <c r="E19" s="150"/>
      <c r="F19" s="150"/>
      <c r="G19" s="150"/>
      <c r="H19" s="150"/>
      <c r="I19" s="150"/>
      <c r="J19" s="149"/>
      <c r="K19" s="149"/>
      <c r="L19" s="150"/>
      <c r="M19" s="150"/>
      <c r="N19" s="149"/>
      <c r="O19" s="151"/>
      <c r="P19" s="153" t="str">
        <f>IF(
OR($C19="",$D19="",$E19=""),"",
INDEX('Lr for AADT'!$B$3:$E$9,MATCH($D19,'Lr for AADT'!$A$3:$A$9,0),MATCH($E19,'Lr for AADT'!$B$2:$E$2,0))
)</f>
        <v/>
      </c>
      <c r="Q19" s="121" t="str" cm="1">
        <f t="array" ref="Q19">_xlfn.IFS(
$F19="Yes","0",
OR($H19="",$P19=""),"",
$F19="No",($H19/$P19)
)</f>
        <v/>
      </c>
      <c r="R19" s="120" t="str" cm="1">
        <f t="array" ref="R19">_xlfn.IFS(
$F19="Yes",2*$P19,
OR($F19="",$H19="",$I19="",$P19=""),"",
$F19="No",8*($H19-($I19+$N19))
)</f>
        <v/>
      </c>
      <c r="S19" s="154" t="str" cm="1">
        <f t="array" ref="S19">_xlfn.IFS(
$C19="One-way","0",
$C19="Two-way",8*($J19-($K19+$O19)),
OR($J19="",$P19=""),""
)</f>
        <v/>
      </c>
      <c r="T19" s="152" t="str" cm="1">
        <f t="array" ref="T19">_xlfn.IFS(
$F19="Yes",2*$P19,
OR($F19="",$H19="",$I19="",$P19=""),"",
$F19="No",MAX(($P19/$H19)*($H19-($I19+$N19)),8*($H19-($I19+$N19)))
)</f>
        <v/>
      </c>
      <c r="U19" s="31" t="str">
        <f t="shared" si="3"/>
        <v/>
      </c>
      <c r="V19" s="31" t="str" cm="1">
        <f t="array" ref="V19">_xlfn.IFS(
$C19="Two-way","0",
$C19="One-way",4*($L19-$I19),
OR($C19="",$I19="",$L19=""),""
)</f>
        <v/>
      </c>
      <c r="W19" s="155" t="str" cm="1">
        <f t="array" ref="W19">_xlfn.IFS(
$C19="One-Way","0",
$F19="Yes",2*$P19,
OR($C19="",$J19="",$K19="",$P19=""),"",
$F19="No",MAX(($P19/$J19)*($J19-($K19+$O19)),8*($J19-($K19+$O19)))
)</f>
        <v/>
      </c>
      <c r="X19" s="156" t="str">
        <f>IF(
OR($C19="",$F19=""),"",
INDEX('Lr for AADT'!$B$15:$C$16,MATCH(C19,'Lr for AADT'!$A$15:$A$16,0),MATCH(F19,'Lr for AADT'!$B$14:$C$14,0))
)</f>
        <v/>
      </c>
      <c r="Y19" s="190" t="str">
        <f t="shared" si="2"/>
        <v/>
      </c>
    </row>
    <row r="20" spans="1:25" x14ac:dyDescent="0.25">
      <c r="A20" s="209">
        <v>17</v>
      </c>
      <c r="B20" s="206"/>
      <c r="C20" s="150"/>
      <c r="D20" s="150"/>
      <c r="E20" s="150"/>
      <c r="F20" s="150"/>
      <c r="G20" s="150"/>
      <c r="H20" s="150"/>
      <c r="I20" s="150"/>
      <c r="J20" s="149"/>
      <c r="K20" s="149"/>
      <c r="L20" s="150"/>
      <c r="M20" s="150"/>
      <c r="N20" s="149"/>
      <c r="O20" s="151"/>
      <c r="P20" s="153" t="str">
        <f>IF(
OR($C20="",$D20="",$E20=""),"",
INDEX('Lr for AADT'!$B$3:$E$9,MATCH($D20,'Lr for AADT'!$A$3:$A$9,0),MATCH($E20,'Lr for AADT'!$B$2:$E$2,0))
)</f>
        <v/>
      </c>
      <c r="Q20" s="121" t="str" cm="1">
        <f t="array" ref="Q20">_xlfn.IFS(
$F20="Yes","0",
OR($H20="",$P20=""),"",
$F20="No",($H20/$P20)
)</f>
        <v/>
      </c>
      <c r="R20" s="120" t="str" cm="1">
        <f t="array" ref="R20">_xlfn.IFS(
$F20="Yes",2*$P20,
OR($F20="",$H20="",$I20="",$P20=""),"",
$F20="No",8*($H20-($I20+$N20))
)</f>
        <v/>
      </c>
      <c r="S20" s="154" t="str" cm="1">
        <f t="array" ref="S20">_xlfn.IFS(
$C20="One-way","0",
$C20="Two-way",8*($J20-($K20+$O20)),
OR($J20="",$P20=""),""
)</f>
        <v/>
      </c>
      <c r="T20" s="152" t="str" cm="1">
        <f t="array" ref="T20">_xlfn.IFS(
$F20="Yes",2*$P20,
OR($F20="",$H20="",$I20="",$P20=""),"",
$F20="No",MAX(($P20/$H20)*($H20-($I20+$N20)),8*($H20-($I20+$N20)))
)</f>
        <v/>
      </c>
      <c r="U20" s="31" t="str">
        <f t="shared" si="3"/>
        <v/>
      </c>
      <c r="V20" s="31" t="str" cm="1">
        <f t="array" ref="V20">_xlfn.IFS(
$C20="Two-way","0",
$C20="One-way",4*($L20-$I20),
OR($C20="",$I20="",$L20=""),""
)</f>
        <v/>
      </c>
      <c r="W20" s="155" t="str" cm="1">
        <f t="array" ref="W20">_xlfn.IFS(
$C20="One-Way","0",
$F20="Yes",2*$P20,
OR($C20="",$J20="",$K20="",$P20=""),"",
$F20="No",MAX(($P20/$J20)*($J20-($K20+$O20)),8*($J20-($K20+$O20)))
)</f>
        <v/>
      </c>
      <c r="X20" s="156" t="str">
        <f>IF(
OR($C20="",$F20=""),"",
INDEX('Lr for AADT'!$B$15:$C$16,MATCH(C20,'Lr for AADT'!$A$15:$A$16,0),MATCH(F20,'Lr for AADT'!$B$14:$C$14,0))
)</f>
        <v/>
      </c>
      <c r="Y20" s="190" t="str">
        <f t="shared" si="2"/>
        <v/>
      </c>
    </row>
    <row r="21" spans="1:25" x14ac:dyDescent="0.25">
      <c r="A21" s="209">
        <v>18</v>
      </c>
      <c r="B21" s="206"/>
      <c r="C21" s="150"/>
      <c r="D21" s="150"/>
      <c r="E21" s="150"/>
      <c r="F21" s="150"/>
      <c r="G21" s="150"/>
      <c r="H21" s="150"/>
      <c r="I21" s="150"/>
      <c r="J21" s="149"/>
      <c r="K21" s="149"/>
      <c r="L21" s="150"/>
      <c r="M21" s="150"/>
      <c r="N21" s="149"/>
      <c r="O21" s="151"/>
      <c r="P21" s="153" t="str">
        <f>IF(
OR($C21="",$D21="",$E21=""),"",
INDEX('Lr for AADT'!$B$3:$E$9,MATCH($D21,'Lr for AADT'!$A$3:$A$9,0),MATCH($E21,'Lr for AADT'!$B$2:$E$2,0))
)</f>
        <v/>
      </c>
      <c r="Q21" s="121" t="str" cm="1">
        <f t="array" ref="Q21">_xlfn.IFS(
$F21="Yes","0",
OR($H21="",$P21=""),"",
$F21="No",($H21/$P21)
)</f>
        <v/>
      </c>
      <c r="R21" s="120" t="str" cm="1">
        <f t="array" ref="R21">_xlfn.IFS(
$F21="Yes",2*$P21,
OR($F21="",$H21="",$I21="",$P21=""),"",
$F21="No",8*($H21-($I21+$N21))
)</f>
        <v/>
      </c>
      <c r="S21" s="154" t="str" cm="1">
        <f t="array" ref="S21">_xlfn.IFS(
$C21="One-way","0",
$C21="Two-way",8*($J21-($K21+$O21)),
OR($J21="",$P21=""),""
)</f>
        <v/>
      </c>
      <c r="T21" s="152" t="str" cm="1">
        <f t="array" ref="T21">_xlfn.IFS(
$F21="Yes",2*$P21,
OR($F21="",$H21="",$I21="",$P21=""),"",
$F21="No",MAX(($P21/$H21)*($H21-($I21+$N21)),8*($H21-($I21+$N21)))
)</f>
        <v/>
      </c>
      <c r="U21" s="31" t="str">
        <f t="shared" si="3"/>
        <v/>
      </c>
      <c r="V21" s="31" t="str" cm="1">
        <f t="array" ref="V21">_xlfn.IFS(
$C21="Two-way","0",
$C21="One-way",4*($L21-$I21),
OR($C21="",$I21="",$L21=""),""
)</f>
        <v/>
      </c>
      <c r="W21" s="155" t="str" cm="1">
        <f t="array" ref="W21">_xlfn.IFS(
$C21="One-Way","0",
$F21="Yes",2*$P21,
OR($C21="",$J21="",$K21="",$P21=""),"",
$F21="No",MAX(($P21/$J21)*($J21-($K21+$O21)),8*($J21-($K21+$O21)))
)</f>
        <v/>
      </c>
      <c r="X21" s="156" t="str">
        <f>IF(
OR($C21="",$F21=""),"",
INDEX('Lr for AADT'!$B$15:$C$16,MATCH(C21,'Lr for AADT'!$A$15:$A$16,0),MATCH(F21,'Lr for AADT'!$B$14:$C$14,0))
)</f>
        <v/>
      </c>
      <c r="Y21" s="190" t="str">
        <f t="shared" si="2"/>
        <v/>
      </c>
    </row>
    <row r="22" spans="1:25" x14ac:dyDescent="0.25">
      <c r="A22" s="209">
        <v>19</v>
      </c>
      <c r="B22" s="206"/>
      <c r="C22" s="150"/>
      <c r="D22" s="150"/>
      <c r="E22" s="150"/>
      <c r="F22" s="150"/>
      <c r="G22" s="150"/>
      <c r="H22" s="150"/>
      <c r="I22" s="150"/>
      <c r="J22" s="149"/>
      <c r="K22" s="149"/>
      <c r="L22" s="150"/>
      <c r="M22" s="150"/>
      <c r="N22" s="149"/>
      <c r="O22" s="151"/>
      <c r="P22" s="153" t="str">
        <f>IF(
OR($C22="",$D22="",$E22=""),"",
INDEX('Lr for AADT'!$B$3:$E$9,MATCH($D22,'Lr for AADT'!$A$3:$A$9,0),MATCH($E22,'Lr for AADT'!$B$2:$E$2,0))
)</f>
        <v/>
      </c>
      <c r="Q22" s="121" t="str" cm="1">
        <f t="array" ref="Q22">_xlfn.IFS(
$F22="Yes","0",
OR($H22="",$P22=""),"",
$F22="No",($H22/$P22)
)</f>
        <v/>
      </c>
      <c r="R22" s="120" t="str" cm="1">
        <f t="array" ref="R22">_xlfn.IFS(
$F22="Yes",2*$P22,
OR($F22="",$H22="",$I22="",$P22=""),"",
$F22="No",8*($H22-($I22+$N22))
)</f>
        <v/>
      </c>
      <c r="S22" s="154" t="str" cm="1">
        <f t="array" ref="S22">_xlfn.IFS(
$C22="One-way","0",
$C22="Two-way",8*($J22-($K22+$O22)),
OR($J22="",$P22=""),""
)</f>
        <v/>
      </c>
      <c r="T22" s="152" t="str" cm="1">
        <f t="array" ref="T22">_xlfn.IFS(
$F22="Yes",2*$P22,
OR($F22="",$H22="",$I22="",$P22=""),"",
$F22="No",MAX(($P22/$H22)*($H22-($I22+$N22)),8*($H22-($I22+$N22)))
)</f>
        <v/>
      </c>
      <c r="U22" s="31" t="str">
        <f t="shared" si="3"/>
        <v/>
      </c>
      <c r="V22" s="31" t="str" cm="1">
        <f t="array" ref="V22">_xlfn.IFS(
$C22="Two-way","0",
$C22="One-way",4*($L22-$I22),
OR($C22="",$I22="",$L22=""),""
)</f>
        <v/>
      </c>
      <c r="W22" s="155" t="str" cm="1">
        <f t="array" ref="W22">_xlfn.IFS(
$C22="One-Way","0",
$F22="Yes",2*$P22,
OR($C22="",$J22="",$K22="",$P22=""),"",
$F22="No",MAX(($P22/$J22)*($J22-($K22+$O22)),8*($J22-($K22+$O22)))
)</f>
        <v/>
      </c>
      <c r="X22" s="156" t="str">
        <f>IF(
OR($C22="",$F22=""),"",
INDEX('Lr for AADT'!$B$15:$C$16,MATCH(C22,'Lr for AADT'!$A$15:$A$16,0),MATCH(F22,'Lr for AADT'!$B$14:$C$14,0))
)</f>
        <v/>
      </c>
      <c r="Y22" s="190" t="str">
        <f t="shared" si="2"/>
        <v/>
      </c>
    </row>
    <row r="23" spans="1:25" x14ac:dyDescent="0.25">
      <c r="A23" s="210">
        <v>20</v>
      </c>
      <c r="B23" s="207"/>
      <c r="C23" s="163"/>
      <c r="D23" s="163"/>
      <c r="E23" s="163"/>
      <c r="F23" s="163"/>
      <c r="G23" s="163"/>
      <c r="H23" s="163"/>
      <c r="I23" s="163"/>
      <c r="J23" s="164"/>
      <c r="K23" s="164"/>
      <c r="L23" s="163"/>
      <c r="M23" s="163"/>
      <c r="N23" s="164"/>
      <c r="O23" s="165"/>
      <c r="P23" s="166" t="str">
        <f>IF(
OR($C23="",$D23="",$E23=""),"",
INDEX('Lr for AADT'!$B$3:$E$9,MATCH($D23,'Lr for AADT'!$A$3:$A$9,0),MATCH($E23,'Lr for AADT'!$B$2:$E$2,0))
)</f>
        <v/>
      </c>
      <c r="Q23" s="167" t="str" cm="1">
        <f t="array" ref="Q23">_xlfn.IFS(
$F23="Yes","0",
OR($H23="",$P23=""),"",
$F23="No",($H23/$P23)
)</f>
        <v/>
      </c>
      <c r="R23" s="168" t="str" cm="1">
        <f t="array" ref="R23">_xlfn.IFS(
$F23="Yes",2*$P23,
OR($F23="",$H23="",$I23="",$P23=""),"",
$F23="No",8*($H23-($I23+$N23))
)</f>
        <v/>
      </c>
      <c r="S23" s="169" t="str" cm="1">
        <f t="array" ref="S23">_xlfn.IFS(
$C23="One-way","0",
$C23="Two-way",8*($J23-($K23+$O23)),
OR($J23="",$P23=""),""
)</f>
        <v/>
      </c>
      <c r="T23" s="170" t="str" cm="1">
        <f t="array" ref="T23">_xlfn.IFS(
$F23="Yes",2*$P23,
OR($F23="",$H23="",$I23="",$P23=""),"",
$F23="No",MAX(($P23/$H23)*($H23-($I23+$N23)),8*($H23-($I23+$N23)))
)</f>
        <v/>
      </c>
      <c r="U23" s="171" t="str">
        <f t="shared" si="3"/>
        <v/>
      </c>
      <c r="V23" s="171" t="str" cm="1">
        <f t="array" ref="V23">_xlfn.IFS(
$C23="Two-way","0",
$C23="One-way",4*($L23-$I23),
OR($C23="",$I23="",$L23=""),""
)</f>
        <v/>
      </c>
      <c r="W23" s="172" t="str" cm="1">
        <f t="array" ref="W23">_xlfn.IFS(
$C23="One-Way","0",
$F23="Yes",2*$P23,
OR($C23="",$J23="",$K23="",$P23=""),"",
$F23="No",MAX(($P23/$J23)*($J23-($K23+$O23)),8*($J23-($K23+$O23)))
)</f>
        <v/>
      </c>
      <c r="X23" s="173" t="str">
        <f>IF(
OR($C23="",$F23=""),"",
INDEX('Lr for AADT'!$B$15:$C$16,MATCH(C23,'Lr for AADT'!$A$15:$A$16,0),MATCH(F23,'Lr for AADT'!$B$14:$C$14,0))
)</f>
        <v/>
      </c>
      <c r="Y23" s="191" t="str">
        <f t="shared" si="2"/>
        <v/>
      </c>
    </row>
    <row r="25" spans="1:25" x14ac:dyDescent="0.25">
      <c r="H25" s="212"/>
      <c r="J25" s="212"/>
    </row>
    <row r="26" spans="1:25" s="157" customFormat="1" x14ac:dyDescent="0.25">
      <c r="A26" s="213"/>
      <c r="B26" s="213"/>
      <c r="C26" s="214"/>
      <c r="D26" s="213"/>
      <c r="E26" s="213"/>
      <c r="F26" s="213"/>
      <c r="G26" s="213"/>
      <c r="H26" s="212"/>
      <c r="I26" s="213"/>
      <c r="J26" s="213"/>
      <c r="K26" s="213"/>
      <c r="L26" s="213"/>
      <c r="M26" s="213"/>
      <c r="N26" s="211"/>
      <c r="O26" s="213"/>
      <c r="P26" s="159"/>
      <c r="Q26" s="159"/>
      <c r="R26" s="159"/>
      <c r="S26" s="159"/>
      <c r="T26" s="159"/>
      <c r="U26" s="158"/>
      <c r="V26" s="158"/>
      <c r="W26" s="158"/>
      <c r="X26" s="160"/>
      <c r="Y26" s="161"/>
    </row>
  </sheetData>
  <sheetProtection sheet="1" objects="1" scenarios="1"/>
  <mergeCells count="4">
    <mergeCell ref="C2:M2"/>
    <mergeCell ref="T2:Y2"/>
    <mergeCell ref="A2:B2"/>
    <mergeCell ref="P2:S2"/>
  </mergeCells>
  <conditionalFormatting sqref="J4:K23 S4:S23 W4:W23">
    <cfRule type="expression" dxfId="31" priority="9">
      <formula>IF($C4="One-way",1,0)</formula>
    </cfRule>
  </conditionalFormatting>
  <conditionalFormatting sqref="N4:O23">
    <cfRule type="expression" dxfId="30" priority="11">
      <formula>IF($G4="No",1,0)</formula>
    </cfRule>
  </conditionalFormatting>
  <conditionalFormatting sqref="H4:K23 N4:O23">
    <cfRule type="expression" dxfId="29" priority="10">
      <formula>IF($F4="Yes",1,0)</formula>
    </cfRule>
  </conditionalFormatting>
  <conditionalFormatting sqref="L4:L23 V4:V23">
    <cfRule type="expression" dxfId="28" priority="1">
      <formula>IF($C4="Two-way",1,0)</formula>
    </cfRule>
  </conditionalFormatting>
  <pageMargins left="0.25" right="0.25" top="0.75" bottom="0.75" header="0.3" footer="0.3"/>
  <pageSetup paperSize="9" scale="54" orientation="landscape" r:id="rId1"/>
  <tableParts count="1">
    <tablePart r:id="rId2"/>
  </tableParts>
  <extLst>
    <ext xmlns:x14="http://schemas.microsoft.com/office/spreadsheetml/2009/9/main" uri="{CCE6A557-97BC-4b89-ADB6-D9C93CAAB3DF}">
      <x14:dataValidations xmlns:xm="http://schemas.microsoft.com/office/excel/2006/main" count="5">
        <x14:dataValidation type="list" allowBlank="1" showInputMessage="1" showErrorMessage="1" xr:uid="{83B319A7-DFB9-4733-9142-1F7F88A10261}">
          <x14:formula1>
            <xm:f>'Pull-down Inputs'!$A$4:$A$6</xm:f>
          </x14:formula1>
          <xm:sqref>C4:C23</xm:sqref>
        </x14:dataValidation>
        <x14:dataValidation type="list" allowBlank="1" showInputMessage="1" showErrorMessage="1" xr:uid="{564213EA-2061-4EC2-8FF6-99398AA3D886}">
          <x14:formula1>
            <xm:f>'Pull-down Inputs'!$B$4:$B$11</xm:f>
          </x14:formula1>
          <xm:sqref>D4:D23</xm:sqref>
        </x14:dataValidation>
        <x14:dataValidation type="list" allowBlank="1" showInputMessage="1" showErrorMessage="1" xr:uid="{8D130D5D-1687-478A-8A87-DF189E927B3E}">
          <x14:formula1>
            <xm:f>'Pull-down Inputs'!$C$4:$C$8</xm:f>
          </x14:formula1>
          <xm:sqref>E4:E23</xm:sqref>
        </x14:dataValidation>
        <x14:dataValidation type="list" allowBlank="1" showInputMessage="1" showErrorMessage="1" xr:uid="{59772A82-38CE-4A5D-8ABB-C5CAA570F328}">
          <x14:formula1>
            <xm:f>'Pull-down Inputs'!$D$4:$D$6</xm:f>
          </x14:formula1>
          <xm:sqref>F4:F23</xm:sqref>
        </x14:dataValidation>
        <x14:dataValidation type="list" allowBlank="1" showInputMessage="1" showErrorMessage="1" xr:uid="{37E329D9-9931-417C-A35B-BCDFD7523D72}">
          <x14:formula1>
            <xm:f>'Pull-down Inputs'!$E$4:$E$6</xm:f>
          </x14:formula1>
          <xm:sqref>G4:G23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D52C3-AF25-4BEB-9AAA-FF1AA29AB804}">
  <dimension ref="A1:E11"/>
  <sheetViews>
    <sheetView workbookViewId="0">
      <selection activeCell="E5" sqref="E5"/>
    </sheetView>
  </sheetViews>
  <sheetFormatPr defaultRowHeight="15" x14ac:dyDescent="0.25"/>
  <cols>
    <col min="1" max="4" width="11.140625" style="1" customWidth="1"/>
  </cols>
  <sheetData>
    <row r="1" spans="1:5" x14ac:dyDescent="0.25">
      <c r="A1" s="114" t="s">
        <v>134</v>
      </c>
    </row>
    <row r="2" spans="1:5" x14ac:dyDescent="0.25">
      <c r="A2" s="19"/>
    </row>
    <row r="3" spans="1:5" x14ac:dyDescent="0.25">
      <c r="A3" s="1" t="s">
        <v>31</v>
      </c>
      <c r="B3" s="1" t="s">
        <v>34</v>
      </c>
      <c r="C3" s="1" t="s">
        <v>37</v>
      </c>
      <c r="D3" s="1" t="s">
        <v>40</v>
      </c>
      <c r="E3" s="1" t="s">
        <v>43</v>
      </c>
    </row>
    <row r="4" spans="1:5" x14ac:dyDescent="0.25">
      <c r="E4" s="1"/>
    </row>
    <row r="5" spans="1:5" x14ac:dyDescent="0.25">
      <c r="A5" s="1" t="s">
        <v>132</v>
      </c>
      <c r="B5" s="1">
        <v>50</v>
      </c>
      <c r="C5" s="1" t="s">
        <v>135</v>
      </c>
      <c r="D5" s="1" t="s">
        <v>133</v>
      </c>
      <c r="E5" s="1" t="s">
        <v>133</v>
      </c>
    </row>
    <row r="6" spans="1:5" x14ac:dyDescent="0.25">
      <c r="A6" s="1" t="s">
        <v>129</v>
      </c>
      <c r="B6" s="1">
        <v>60</v>
      </c>
      <c r="C6" s="1" t="s">
        <v>130</v>
      </c>
      <c r="D6" s="1" t="s">
        <v>131</v>
      </c>
      <c r="E6" s="1" t="s">
        <v>131</v>
      </c>
    </row>
    <row r="7" spans="1:5" x14ac:dyDescent="0.25">
      <c r="B7" s="1">
        <v>70</v>
      </c>
      <c r="C7" s="1" t="s">
        <v>136</v>
      </c>
    </row>
    <row r="8" spans="1:5" x14ac:dyDescent="0.25">
      <c r="B8" s="1">
        <v>80</v>
      </c>
      <c r="C8" s="1" t="s">
        <v>137</v>
      </c>
    </row>
    <row r="9" spans="1:5" x14ac:dyDescent="0.25">
      <c r="B9" s="1">
        <v>90</v>
      </c>
    </row>
    <row r="10" spans="1:5" x14ac:dyDescent="0.25">
      <c r="B10" s="1">
        <v>100</v>
      </c>
    </row>
    <row r="11" spans="1:5" x14ac:dyDescent="0.25">
      <c r="B11" s="1">
        <v>110</v>
      </c>
    </row>
  </sheetData>
  <phoneticPr fontId="4"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C4B23D-E065-4561-97D4-3B7E1A028E99}">
  <dimension ref="A1:E16"/>
  <sheetViews>
    <sheetView workbookViewId="0">
      <selection activeCell="B26" sqref="B26"/>
    </sheetView>
  </sheetViews>
  <sheetFormatPr defaultRowHeight="15" x14ac:dyDescent="0.25"/>
  <cols>
    <col min="1" max="1" width="13.28515625" bestFit="1" customWidth="1"/>
    <col min="2" max="5" width="14.28515625" customWidth="1"/>
  </cols>
  <sheetData>
    <row r="1" spans="1:5" ht="15.75" thickBot="1" x14ac:dyDescent="0.3">
      <c r="A1" s="1"/>
      <c r="B1" s="230" t="s">
        <v>138</v>
      </c>
      <c r="C1" s="231"/>
      <c r="D1" s="231"/>
      <c r="E1" s="232"/>
    </row>
    <row r="2" spans="1:5" ht="15.75" thickBot="1" x14ac:dyDescent="0.3">
      <c r="A2" s="8" t="s">
        <v>139</v>
      </c>
      <c r="B2" s="15" t="s">
        <v>135</v>
      </c>
      <c r="C2" s="1" t="s">
        <v>130</v>
      </c>
      <c r="D2" s="16" t="s">
        <v>136</v>
      </c>
      <c r="E2" s="17" t="s">
        <v>137</v>
      </c>
    </row>
    <row r="3" spans="1:5" x14ac:dyDescent="0.25">
      <c r="A3" s="12">
        <v>110</v>
      </c>
      <c r="B3" s="9">
        <v>110</v>
      </c>
      <c r="C3" s="3">
        <v>101</v>
      </c>
      <c r="D3" s="3">
        <v>88</v>
      </c>
      <c r="E3" s="4">
        <v>76</v>
      </c>
    </row>
    <row r="4" spans="1:5" x14ac:dyDescent="0.25">
      <c r="A4" s="13">
        <v>100</v>
      </c>
      <c r="B4" s="10">
        <v>91</v>
      </c>
      <c r="C4" s="2">
        <v>76</v>
      </c>
      <c r="D4" s="2">
        <v>64</v>
      </c>
      <c r="E4" s="5">
        <v>61</v>
      </c>
    </row>
    <row r="5" spans="1:5" x14ac:dyDescent="0.25">
      <c r="A5" s="13">
        <v>90</v>
      </c>
      <c r="B5" s="10">
        <v>80</v>
      </c>
      <c r="C5" s="2">
        <v>67</v>
      </c>
      <c r="D5" s="2">
        <v>56</v>
      </c>
      <c r="E5" s="5">
        <v>54</v>
      </c>
    </row>
    <row r="6" spans="1:5" x14ac:dyDescent="0.25">
      <c r="A6" s="13">
        <v>80</v>
      </c>
      <c r="B6" s="10">
        <v>70</v>
      </c>
      <c r="C6" s="2">
        <v>58</v>
      </c>
      <c r="D6" s="2">
        <v>49</v>
      </c>
      <c r="E6" s="5">
        <v>46</v>
      </c>
    </row>
    <row r="7" spans="1:5" x14ac:dyDescent="0.25">
      <c r="A7" s="13">
        <v>70</v>
      </c>
      <c r="B7" s="10">
        <v>60</v>
      </c>
      <c r="C7" s="2">
        <v>49</v>
      </c>
      <c r="D7" s="2">
        <v>42</v>
      </c>
      <c r="E7" s="5">
        <v>38</v>
      </c>
    </row>
    <row r="8" spans="1:5" x14ac:dyDescent="0.25">
      <c r="A8" s="13">
        <v>60</v>
      </c>
      <c r="B8" s="10">
        <v>49</v>
      </c>
      <c r="C8" s="2">
        <v>40</v>
      </c>
      <c r="D8" s="2">
        <v>34</v>
      </c>
      <c r="E8" s="5">
        <v>30</v>
      </c>
    </row>
    <row r="9" spans="1:5" ht="15.75" thickBot="1" x14ac:dyDescent="0.3">
      <c r="A9" s="14">
        <v>50</v>
      </c>
      <c r="B9" s="11">
        <v>34</v>
      </c>
      <c r="C9" s="6">
        <v>27</v>
      </c>
      <c r="D9" s="6">
        <v>24</v>
      </c>
      <c r="E9" s="7">
        <v>21</v>
      </c>
    </row>
    <row r="11" spans="1:5" x14ac:dyDescent="0.25">
      <c r="A11" s="29" t="e">
        <f>INDEX('Lr for AADT'!B3:E9,MATCH('Length of Need Calculator'!E4,'Lr for AADT'!A3:A9,0),MATCH('Length of Need Calculator'!E5,'Lr for AADT'!B2:E2,0))</f>
        <v>#N/A</v>
      </c>
      <c r="B11" t="s">
        <v>140</v>
      </c>
    </row>
    <row r="12" spans="1:5" x14ac:dyDescent="0.25">
      <c r="A12" s="18"/>
      <c r="B12" s="18"/>
    </row>
    <row r="13" spans="1:5" x14ac:dyDescent="0.25">
      <c r="A13" s="30"/>
      <c r="B13" s="233" t="s">
        <v>141</v>
      </c>
      <c r="C13" s="233"/>
    </row>
    <row r="14" spans="1:5" x14ac:dyDescent="0.25">
      <c r="A14" s="2"/>
      <c r="B14" s="10" t="s">
        <v>133</v>
      </c>
      <c r="C14" s="2" t="s">
        <v>131</v>
      </c>
    </row>
    <row r="15" spans="1:5" ht="18" x14ac:dyDescent="0.35">
      <c r="A15" s="2" t="s">
        <v>142</v>
      </c>
      <c r="B15" s="10" t="s">
        <v>143</v>
      </c>
      <c r="C15" s="2" t="s">
        <v>144</v>
      </c>
    </row>
    <row r="16" spans="1:5" ht="18" x14ac:dyDescent="0.35">
      <c r="A16" s="2" t="s">
        <v>145</v>
      </c>
      <c r="B16" s="10" t="s">
        <v>146</v>
      </c>
      <c r="C16" s="2" t="s">
        <v>147</v>
      </c>
    </row>
  </sheetData>
  <mergeCells count="2">
    <mergeCell ref="B1:E1"/>
    <mergeCell ref="B13:C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DavidBarton xmlns="d1291c43-6d43-4702-b8aa-95a819e21c69">
      <UserInfo>
        <DisplayName/>
        <AccountId xsi:nil="true"/>
        <AccountType/>
      </UserInfo>
    </DavidBarton>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D9B34439DA2D9643B77EEF90079834E4" ma:contentTypeVersion="10" ma:contentTypeDescription="Create a new document." ma:contentTypeScope="" ma:versionID="4bc7d3bce288571c6c449072996a990b">
  <xsd:schema xmlns:xsd="http://www.w3.org/2001/XMLSchema" xmlns:xs="http://www.w3.org/2001/XMLSchema" xmlns:p="http://schemas.microsoft.com/office/2006/metadata/properties" xmlns:ns2="d1291c43-6d43-4702-b8aa-95a819e21c69" xmlns:ns3="b137bba2-f9b4-4bd9-9dbf-cec82d1947e1" targetNamespace="http://schemas.microsoft.com/office/2006/metadata/properties" ma:root="true" ma:fieldsID="df17a9c0c14540583dec63f4082049ea" ns2:_="" ns3:_="">
    <xsd:import namespace="d1291c43-6d43-4702-b8aa-95a819e21c69"/>
    <xsd:import namespace="b137bba2-f9b4-4bd9-9dbf-cec82d1947e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DavidBart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291c43-6d43-4702-b8aa-95a819e21c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DavidBarton" ma:index="14" nillable="true" ma:displayName="David Barton " ma:format="Dropdown" ma:list="UserInfo" ma:SharePointGroup="0" ma:internalName="DavidBart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137bba2-f9b4-4bd9-9dbf-cec82d1947e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4B05CC1-F179-4F2D-B72A-FEA63E7C5CA2}">
  <ds:schemaRefs>
    <ds:schemaRef ds:uri="http://schemas.microsoft.com/office/2006/documentManagement/types"/>
    <ds:schemaRef ds:uri="d1291c43-6d43-4702-b8aa-95a819e21c69"/>
    <ds:schemaRef ds:uri="http://purl.org/dc/dcmitype/"/>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b137bba2-f9b4-4bd9-9dbf-cec82d1947e1"/>
    <ds:schemaRef ds:uri="http://www.w3.org/XML/1998/namespace"/>
    <ds:schemaRef ds:uri="http://purl.org/dc/terms/"/>
  </ds:schemaRefs>
</ds:datastoreItem>
</file>

<file path=customXml/itemProps2.xml><?xml version="1.0" encoding="utf-8"?>
<ds:datastoreItem xmlns:ds="http://schemas.openxmlformats.org/officeDocument/2006/customXml" ds:itemID="{4983D1BA-63A2-4D2C-B2E0-F5AF5A060B58}">
  <ds:schemaRefs>
    <ds:schemaRef ds:uri="http://schemas.microsoft.com/DataMashup"/>
  </ds:schemaRefs>
</ds:datastoreItem>
</file>

<file path=customXml/itemProps3.xml><?xml version="1.0" encoding="utf-8"?>
<ds:datastoreItem xmlns:ds="http://schemas.openxmlformats.org/officeDocument/2006/customXml" ds:itemID="{C430FE19-32C0-4524-A642-FA7F32B7FD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1291c43-6d43-4702-b8aa-95a819e21c69"/>
    <ds:schemaRef ds:uri="b137bba2-f9b4-4bd9-9dbf-cec82d1947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79CB2C9-B25E-48DC-A35C-31AE2677C7CD}">
  <ds:schemaRefs>
    <ds:schemaRef ds:uri="http://schemas.microsoft.com/sharepoint/v3/contenttype/forms"/>
  </ds:schemaRefs>
</ds:datastoreItem>
</file>

<file path=docMetadata/LabelInfo.xml><?xml version="1.0" encoding="utf-8"?>
<clbl:labelList xmlns:clbl="http://schemas.microsoft.com/office/2020/mipLabelMetadata">
  <clbl:label id="{a3146619-4dd6-429b-973c-71ac0e8c9573}" enabled="1" method="Privileged" siteId="{5094c7a7-0748-466e-941e-72882c3097ba}"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Instructions</vt:lpstr>
      <vt:lpstr>Length of Need Calculator</vt:lpstr>
      <vt:lpstr>LoN Schedule</vt:lpstr>
      <vt:lpstr>Pull-down Inputs</vt:lpstr>
      <vt:lpstr>Lr for AADT</vt:lpstr>
      <vt:lpstr>'Length of Need Calculator'!Print_Area</vt:lpstr>
      <vt:lpstr>'LoN Schedule'!Print_Area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Adam Biggs</dc:creator>
  <cp:keywords/>
  <dc:description/>
  <cp:lastModifiedBy>David C Barton (DTP)</cp:lastModifiedBy>
  <cp:revision/>
  <dcterms:created xsi:type="dcterms:W3CDTF">2019-09-18T06:47:03Z</dcterms:created>
  <dcterms:modified xsi:type="dcterms:W3CDTF">2024-02-09T06:51:33Z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0x010100D9B34439DA2D9643B77EEF90079834E4</vt:lpwstr>
  </property>
  <property fmtid="{D5CDD505-2E9C-101B-9397-08002B2CF9AE}" pid="3" name="MediaServiceImageTags">
    <vt:lpwstr/>
  </property>
</Properties>
</file>